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Registro Civil Teco\Desktop\RC  MENSUAL 2021 TRANSPARENCIA\RC SEPTIEMBRE 2021\"/>
    </mc:Choice>
  </mc:AlternateContent>
  <xr:revisionPtr revIDLastSave="0" documentId="8_{AFD94D0C-4C73-4368-BCE5-BDAD15A56A00}" xr6:coauthVersionLast="47" xr6:coauthVersionMax="47" xr10:uidLastSave="{00000000-0000-0000-0000-000000000000}"/>
  <bookViews>
    <workbookView xWindow="-120" yWindow="-120" windowWidth="19440" windowHeight="15000" tabRatio="690" firstSheet="9" activeTab="9" xr2:uid="{00000000-000D-0000-FFFF-FFFF00000000}"/>
  </bookViews>
  <sheets>
    <sheet name="Enero" sheetId="1" state="hidden" r:id="rId1"/>
    <sheet name="Febrero" sheetId="6" state="hidden" r:id="rId2"/>
    <sheet name="Marzo" sheetId="7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JULIO 2021" sheetId="17" r:id="rId10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<sst xmlns="http://schemas.openxmlformats.org/spreadsheetml/2006/main" count="200" uniqueCount="34">
  <si>
    <t>S</t>
  </si>
  <si>
    <t>M</t>
  </si>
  <si>
    <t>8:00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</si>
  <si>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</si>
  <si>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</si>
  <si>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</si>
  <si>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</si>
  <si>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</si>
  <si>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</si>
  <si>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</si>
  <si>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</si>
  <si>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</si>
  <si>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</si>
  <si>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</si>
  <si>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</si>
  <si>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</si>
  <si>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</si>
  <si>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</si>
  <si>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</si>
  <si>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</si>
  <si>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</si>
  <si>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</si>
  <si>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</si>
  <si>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</si>
  <si>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ACTIVIDADES MENSUALES</t>
  </si>
  <si>
    <t>NOTAS</t>
  </si>
  <si>
    <t>ARTICULO 8, FRACCION VI, INCISO H</t>
  </si>
  <si>
    <t>ACTIVIDADES SEMANALES</t>
  </si>
  <si>
    <t>ELABORAR INFORME PARA EL CENTRO DE SALUD</t>
  </si>
  <si>
    <t>ACTIVIDADES COTIDIANAS</t>
  </si>
  <si>
    <t>REMITIR INFORMES A LAS SIGUIENTES DEPENDENCIAS;CENTRO DE SALUD;  D.G.R.C.; R.E.N.A.P.O.; I.N.E.G.I; I.N.E.; TRANSPARENCIA; SUBIR INFORMACIÓN A LA PNT.</t>
  </si>
  <si>
    <r>
      <t xml:space="preserve">     </t>
    </r>
    <r>
      <rPr>
        <b/>
        <sz val="16"/>
        <color rgb="FF0E3E0F"/>
        <rFont val="Rockwell Extra Bold"/>
        <family val="1"/>
      </rPr>
      <t xml:space="preserve"> REGISTRO CIVIL</t>
    </r>
    <r>
      <rPr>
        <b/>
        <sz val="16"/>
        <color theme="5" tint="-0.249977111117893"/>
        <rFont val="Rockwell Extra Bold"/>
        <family val="1"/>
      </rPr>
      <t xml:space="preserve">    </t>
    </r>
    <r>
      <rPr>
        <b/>
        <sz val="16"/>
        <color rgb="FFC00000"/>
        <rFont val="Rockwell Extra Bold"/>
        <family val="1"/>
      </rPr>
      <t xml:space="preserve">AGENDA DIARIA </t>
    </r>
  </si>
  <si>
    <t>* REGISTRO DE ACTAS DE : NACIMIENTO, DEFUNCION, PERMISOS DE INHUMCION, MATRIMONIO, DIVORCIO, RECONOCIMIENTOS E INSCRIPCIONES DE ACTAS EN SU NUEVA MODALIDAD.                                                                                               * BUSQUEDA, CAPTURA Y EXPEDICION DE ACTAS DEL MUNICIPIO,  DEL ESTADO DE JALISCO Y DE           LA  REPUBLICA MEXICANA.                                                                                                                                                          * REVISAR, SELLAR, FOLIAR Y  ESCANEAR  DOCUMENTOS.                                                                                                                                                                 * REALIZAR ANOTACIONES  MARGINALES Y AVISOS POR MATRIMONIOS,  DIVORCIOS Y DEFUNCIONES,  TANTO DE OFICIALÍAS COMO DE JUZGADOS.                                                                                                                            * ARCHIVAR.                                                                                                                                                                                         * CONTESTAR SOLICITUDES DE TRANSPARENCIA.                                                                                                           * CONSTANCIAS DE INEXISTENCIA.                                                                                                                                           * SOLICITUD Y RESOLUCIÓN  DE ACLARACIONES ADMINISTRATIVAS  DE ACTAS                                                                               * SOLICITUD Y RESOLUCION DE REGISTROS EXTEMPORANEOS.</t>
  </si>
  <si>
    <r>
      <rPr>
        <b/>
        <sz val="12"/>
        <color rgb="FF0E3E0F"/>
        <rFont val="Arial Black"/>
        <family val="2"/>
      </rPr>
      <t xml:space="preserve">EL SABADO 4, SE DIÓ SERVICIO PARA EL REGISTRO DE ACTAS DE DEFUNCIÓN. </t>
    </r>
    <r>
      <rPr>
        <b/>
        <sz val="14"/>
        <color rgb="FF0E3E0F"/>
        <rFont val="Arial Narrow"/>
        <family val="2"/>
      </rPr>
      <t xml:space="preserve">           </t>
    </r>
    <r>
      <rPr>
        <b/>
        <sz val="14"/>
        <color theme="5" tint="-0.499984740745262"/>
        <rFont val="Arial Narrow"/>
        <family val="2"/>
      </rPr>
      <t xml:space="preserve">                                                                                                          </t>
    </r>
    <r>
      <rPr>
        <b/>
        <sz val="14"/>
        <color theme="5" tint="-0.499984740745262"/>
        <rFont val="Arial Narrow"/>
        <family val="2"/>
      </rPr>
      <t xml:space="preserve">  </t>
    </r>
    <r>
      <rPr>
        <b/>
        <sz val="14"/>
        <color rgb="FF446F33"/>
        <rFont val="Arial Narrow"/>
        <family val="2"/>
      </rPr>
      <t xml:space="preserve">     </t>
    </r>
    <r>
      <rPr>
        <b/>
        <sz val="14"/>
        <color theme="5" tint="-0.249977111117893"/>
        <rFont val="Arial Narrow"/>
        <family val="2"/>
      </rPr>
      <t xml:space="preserve">                                             </t>
    </r>
    <r>
      <rPr>
        <b/>
        <sz val="14"/>
        <color theme="1"/>
        <rFont val="Arial Narrow"/>
        <family val="2"/>
      </rPr>
      <t xml:space="preserve">                                                                                                                                            EN EL PRESENTE MES NO SE REPORTAN ACTIVIDADES EXTRAORDINARIAS.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</si>
</sst>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"/>
  </numFmts>
  <fonts count="45">
    <font>
      <sz val="10"/>
      <color theme="1"/>
      <name val="Gill Sans MT"/>
      <family val="2"/>
      <scheme val="minor"/>
    </font>
    <font>
      <sz val="12"/>
      <color rgb="FF002060"/>
      <name val="Gill Sans MT"/>
      <family val="2"/>
      <scheme val="minor"/>
    </font>
    <font>
      <sz val="8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name val="Gill Sans MT"/>
      <family val="2"/>
      <scheme val="minor"/>
    </font>
    <font>
      <sz val="10"/>
      <color indexed="63"/>
      <name val="Gill Sans MT"/>
      <family val="4"/>
      <scheme val="minor"/>
    </font>
    <font>
      <b/>
      <sz val="28"/>
      <color theme="1" tint="0.34998626667073579"/>
      <name val="Gill Sans MT"/>
      <family val="2"/>
      <scheme val="minor"/>
    </font>
    <font>
      <sz val="12"/>
      <color theme="4"/>
      <name val="Gill Sans MT"/>
      <family val="2"/>
      <scheme val="major"/>
    </font>
    <font>
      <sz val="10"/>
      <color theme="1"/>
      <name val="Gill Sans MT"/>
      <family val="2"/>
      <scheme val="major"/>
    </font>
    <font>
      <b/>
      <sz val="12"/>
      <color theme="4"/>
      <name val="Gill Sans MT"/>
      <family val="2"/>
      <scheme val="major"/>
    </font>
    <font>
      <b/>
      <sz val="10"/>
      <color theme="1"/>
      <name val="Gill Sans MT"/>
      <family val="2"/>
      <scheme val="minor"/>
    </font>
    <font>
      <b/>
      <sz val="12"/>
      <color theme="4"/>
      <name val="Gill Sans MT"/>
      <family val="2"/>
      <scheme val="minor"/>
    </font>
    <font>
      <sz val="10"/>
      <color theme="0"/>
      <name val="Gill Sans MT"/>
      <family val="2"/>
      <scheme val="minor"/>
    </font>
    <font>
      <b/>
      <sz val="17"/>
      <color theme="4"/>
      <name val="Gill Sans MT"/>
      <family val="4"/>
      <scheme val="minor"/>
    </font>
    <font>
      <b/>
      <sz val="8.5"/>
      <color theme="1"/>
      <name val="Gill Sans MT"/>
      <family val="2"/>
      <scheme val="minor"/>
    </font>
    <font>
      <sz val="8.5"/>
      <color theme="1"/>
      <name val="Gill Sans MT"/>
      <family val="2"/>
      <scheme val="minor"/>
    </font>
    <font>
      <b/>
      <sz val="17"/>
      <color theme="4"/>
      <name val="Gill Sans MT"/>
      <family val="2"/>
      <scheme val="major"/>
    </font>
    <font>
      <b/>
      <sz val="8.5"/>
      <color theme="1"/>
      <name val="Gill Sans MT"/>
      <family val="2"/>
      <scheme val="major"/>
    </font>
    <font>
      <sz val="10"/>
      <color theme="1" tint="0.249977111117893"/>
      <name val="Gill Sans MT"/>
      <family val="2"/>
      <scheme val="minor"/>
    </font>
    <font>
      <sz val="12"/>
      <color theme="1" tint="0.249977111117893"/>
      <name val="Gill Sans MT"/>
      <family val="2"/>
      <scheme val="minor"/>
    </font>
    <font>
      <sz val="10.5"/>
      <color theme="1" tint="0.249977111117893"/>
      <name val="Gill Sans MT"/>
      <family val="2"/>
      <scheme val="minor"/>
    </font>
    <font>
      <b/>
      <sz val="10.5"/>
      <name val="Gill Sans MT"/>
      <family val="2"/>
      <scheme val="minor"/>
    </font>
    <font>
      <b/>
      <sz val="24"/>
      <color theme="4"/>
      <name val="Gill Sans MT"/>
      <family val="2"/>
      <scheme val="major"/>
    </font>
    <font>
      <b/>
      <sz val="14"/>
      <color theme="1"/>
      <name val="Gill Sans MT"/>
      <family val="2"/>
      <scheme val="minor"/>
    </font>
    <font>
      <sz val="16"/>
      <color theme="1"/>
      <name val="Gill Sans MT"/>
      <family val="2"/>
      <scheme val="minor"/>
    </font>
    <font>
      <sz val="36"/>
      <color theme="8" tint="-0.499984740745262"/>
      <name val="Gill Sans MT"/>
      <family val="2"/>
      <scheme val="minor"/>
    </font>
    <font>
      <b/>
      <sz val="24"/>
      <color rgb="FFA40C29"/>
      <name val="Baroneys Textured"/>
    </font>
    <font>
      <sz val="36"/>
      <color rgb="FFF03C96"/>
      <name val="Gill Sans MT"/>
      <family val="2"/>
      <scheme val="minor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4"/>
      <color theme="4" tint="-0.499984740745262"/>
      <name val="Baroneys Textured"/>
    </font>
    <font>
      <b/>
      <sz val="14"/>
      <color theme="5" tint="-0.249977111117893"/>
      <name val="Arial Narrow"/>
      <family val="2"/>
    </font>
    <font>
      <b/>
      <sz val="14"/>
      <color rgb="FF446F33"/>
      <name val="Arial Narrow"/>
      <family val="2"/>
    </font>
    <font>
      <b/>
      <sz val="16"/>
      <color rgb="FF800000"/>
      <name val="Gill Sans MT"/>
      <family val="2"/>
      <scheme val="minor"/>
    </font>
    <font>
      <b/>
      <sz val="14"/>
      <color theme="5" tint="-0.499984740745262"/>
      <name val="Arial Narrow"/>
      <family val="2"/>
    </font>
    <font>
      <b/>
      <sz val="16"/>
      <color rgb="FF1A781C"/>
      <name val="Gill Sans MT"/>
      <family val="2"/>
      <scheme val="minor"/>
    </font>
    <font>
      <b/>
      <sz val="14"/>
      <color rgb="FF1A781C"/>
      <name val="Arial Black"/>
      <family val="2"/>
    </font>
    <font>
      <b/>
      <sz val="12"/>
      <color rgb="FF0E3E0F"/>
      <name val="Gill Sans MT"/>
      <family val="2"/>
      <scheme val="minor"/>
    </font>
    <font>
      <b/>
      <sz val="12"/>
      <color rgb="FF0E3E0F"/>
      <name val="Arial Black"/>
      <family val="2"/>
    </font>
    <font>
      <b/>
      <sz val="14"/>
      <color rgb="FFC00000"/>
      <name val="Gill Sans MT"/>
      <family val="2"/>
      <scheme val="minor"/>
    </font>
    <font>
      <b/>
      <sz val="16"/>
      <color rgb="FFC00000"/>
      <name val="Gill Sans MT"/>
      <family val="2"/>
      <scheme val="minor"/>
    </font>
    <font>
      <b/>
      <sz val="16"/>
      <color theme="5" tint="-0.249977111117893"/>
      <name val="Rockwell Extra Bold"/>
      <family val="1"/>
    </font>
    <font>
      <b/>
      <sz val="16"/>
      <color rgb="FF0E3E0F"/>
      <name val="Rockwell Extra Bold"/>
      <family val="1"/>
    </font>
    <font>
      <b/>
      <sz val="16"/>
      <color rgb="FFC00000"/>
      <name val="Rockwell Extra Bold"/>
      <family val="1"/>
    </font>
    <font>
      <b/>
      <sz val="14"/>
      <color rgb="FF0E3E0F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/>
      <top/>
      <bottom style="double">
        <color rgb="FF1A781C"/>
      </bottom>
      <diagonal/>
    </border>
    <border>
      <left style="double">
        <color rgb="FF1A781C"/>
      </left>
      <right style="double">
        <color rgb="FF1A781C"/>
      </right>
      <top style="double">
        <color rgb="FF1A781C"/>
      </top>
      <bottom style="double">
        <color rgb="FF1A781C"/>
      </bottom>
      <diagonal/>
    </border>
    <border>
      <left style="double">
        <color rgb="FF1A781C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double">
        <color rgb="FF1A781C"/>
      </left>
      <right style="medium">
        <color theme="0"/>
      </right>
      <top style="medium">
        <color theme="0"/>
      </top>
      <bottom style="double">
        <color rgb="FF1A781C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double">
        <color rgb="FF1A781C"/>
      </bottom>
      <diagonal/>
    </border>
    <border>
      <left style="medium">
        <color theme="0"/>
      </left>
      <right style="double">
        <color rgb="FF1A781C"/>
      </right>
      <top style="medium">
        <color theme="0"/>
      </top>
      <bottom style="double">
        <color rgb="FF1A781C"/>
      </bottom>
      <diagonal/>
    </border>
    <border>
      <left style="medium">
        <color theme="0"/>
      </left>
      <right style="double">
        <color rgb="FF1A781C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double">
        <color rgb="FF1A781C"/>
      </right>
      <top style="double">
        <color rgb="FF1A781C"/>
      </top>
      <bottom style="medium">
        <color theme="0"/>
      </bottom>
      <diagonal/>
    </border>
    <border>
      <left style="double">
        <color rgb="FF1A781C"/>
      </left>
      <right style="double">
        <color rgb="FF1A781C"/>
      </right>
      <top style="double">
        <color rgb="FF1A781C"/>
      </top>
      <bottom/>
      <diagonal/>
    </border>
    <border>
      <left style="medium">
        <color theme="0"/>
      </left>
      <right style="medium">
        <color theme="0"/>
      </right>
      <top style="double">
        <color rgb="FF1A781C"/>
      </top>
      <bottom style="medium">
        <color theme="0"/>
      </bottom>
      <diagonal/>
    </border>
    <border>
      <left/>
      <right/>
      <top style="double">
        <color rgb="FF1A781C"/>
      </top>
      <bottom/>
      <diagonal/>
    </border>
    <border>
      <left style="double">
        <color rgb="FF1A781C"/>
      </left>
      <right/>
      <top style="double">
        <color rgb="FF1A781C"/>
      </top>
      <bottom style="double">
        <color rgb="FF1A781C"/>
      </bottom>
      <diagonal/>
    </border>
    <border>
      <left/>
      <right/>
      <top style="double">
        <color rgb="FF1A781C"/>
      </top>
      <bottom style="double">
        <color rgb="FF1A781C"/>
      </bottom>
      <diagonal/>
    </border>
    <border>
      <left/>
      <right style="double">
        <color rgb="FF1A781C"/>
      </right>
      <top/>
      <bottom/>
      <diagonal/>
    </border>
    <border>
      <left style="double">
        <color rgb="FF1A781C"/>
      </left>
      <right/>
      <top style="double">
        <color rgb="FF1A781C"/>
      </top>
      <bottom/>
      <diagonal/>
    </border>
    <border>
      <left style="double">
        <color rgb="FF1A781C"/>
      </left>
      <right/>
      <top/>
      <bottom/>
      <diagonal/>
    </border>
    <border>
      <left style="double">
        <color rgb="FF1A781C"/>
      </left>
      <right/>
      <top/>
      <bottom style="double">
        <color rgb="FF1A781C"/>
      </bottom>
      <diagonal/>
    </border>
    <border>
      <left/>
      <right style="double">
        <color rgb="FF1A781C"/>
      </right>
      <top style="double">
        <color rgb="FF1A781C"/>
      </top>
      <bottom/>
      <diagonal/>
    </border>
    <border>
      <left/>
      <right style="double">
        <color rgb="FF1A781C"/>
      </right>
      <top/>
      <bottom style="double">
        <color rgb="FF1A781C"/>
      </bottom>
      <diagonal/>
    </border>
    <border>
      <left/>
      <right style="double">
        <color rgb="FF1A781C"/>
      </right>
      <top style="double">
        <color rgb="FF1A781C"/>
      </top>
      <bottom style="double">
        <color rgb="FF1A781C"/>
      </bottom>
      <diagonal/>
    </border>
    <border>
      <left style="double">
        <color rgb="FF1A781C"/>
      </left>
      <right style="thin">
        <color indexed="64"/>
      </right>
      <top style="double">
        <color rgb="FF1A781C"/>
      </top>
      <bottom style="double">
        <color rgb="FF1A781C"/>
      </bottom>
      <diagonal/>
    </border>
    <border>
      <left style="thin">
        <color indexed="64"/>
      </left>
      <right style="thin">
        <color indexed="64"/>
      </right>
      <top style="double">
        <color rgb="FF1A781C"/>
      </top>
      <bottom style="double">
        <color rgb="FF1A781C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double">
        <color rgb="FF1A781C"/>
      </left>
      <right style="medium">
        <color theme="0"/>
      </right>
      <top style="double">
        <color rgb="FF1A781C"/>
      </top>
      <bottom style="medium">
        <color theme="0"/>
      </bottom>
      <diagonal/>
    </border>
    <border>
      <left style="thin">
        <color indexed="64"/>
      </left>
      <right style="double">
        <color rgb="FF446F33"/>
      </right>
      <top style="double">
        <color rgb="FF1A781C"/>
      </top>
      <bottom style="double">
        <color rgb="FF1A781C"/>
      </bottom>
      <diagonal/>
    </border>
    <border>
      <left/>
      <right style="double">
        <color rgb="FF446F33"/>
      </right>
      <top style="double">
        <color rgb="FF1A781C"/>
      </top>
      <bottom style="double">
        <color rgb="FF1A781C"/>
      </bottom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47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0" fillId="0" borderId="0" xfId="0" applyBorder="1"/>
    <xf numFmtId="0" fontId="0" fillId="0" borderId="0" xfId="0" applyBorder="1" applyAlignment="1"/>
    <xf numFmtId="0" fontId="25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0" fillId="0" borderId="45" xfId="0" applyBorder="1" applyAlignment="1"/>
    <xf numFmtId="0" fontId="24" fillId="0" borderId="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0" fontId="0" fillId="0" borderId="48" xfId="0" applyBorder="1"/>
    <xf numFmtId="0" fontId="33" fillId="0" borderId="0" xfId="0" applyFont="1" applyFill="1" applyBorder="1" applyAlignment="1">
      <alignment horizontal="center" vertical="center"/>
    </xf>
    <xf numFmtId="0" fontId="0" fillId="0" borderId="61" xfId="0" applyBorder="1"/>
    <xf numFmtId="0" fontId="0" fillId="0" borderId="63" xfId="0" applyBorder="1" applyAlignment="1"/>
    <xf numFmtId="0" fontId="35" fillId="0" borderId="57" xfId="0" applyFont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46" xfId="0" applyFont="1" applyBorder="1" applyAlignment="1">
      <alignment horizontal="center" vertical="center"/>
    </xf>
    <xf numFmtId="0" fontId="35" fillId="0" borderId="46" xfId="0" applyFont="1" applyFill="1" applyBorder="1" applyAlignment="1">
      <alignment horizontal="center" vertical="center"/>
    </xf>
    <xf numFmtId="0" fontId="35" fillId="0" borderId="52" xfId="0" applyFont="1" applyFill="1" applyBorder="1" applyAlignment="1">
      <alignment horizontal="center" vertical="center"/>
    </xf>
    <xf numFmtId="49" fontId="38" fillId="0" borderId="0" xfId="0" applyNumberFormat="1" applyFont="1" applyBorder="1" applyAlignment="1">
      <alignment vertical="center" wrapText="1"/>
    </xf>
    <xf numFmtId="0" fontId="29" fillId="0" borderId="60" xfId="0" applyFont="1" applyBorder="1" applyAlignment="1">
      <alignment vertical="center" wrapText="1"/>
    </xf>
    <xf numFmtId="0" fontId="35" fillId="0" borderId="47" xfId="0" applyFont="1" applyBorder="1" applyAlignment="1">
      <alignment horizontal="center" vertical="center"/>
    </xf>
    <xf numFmtId="0" fontId="35" fillId="0" borderId="71" xfId="0" applyFont="1" applyFill="1" applyBorder="1" applyAlignment="1">
      <alignment horizontal="center" vertical="center"/>
    </xf>
    <xf numFmtId="0" fontId="40" fillId="0" borderId="70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39" fillId="7" borderId="56" xfId="0" applyFont="1" applyFill="1" applyBorder="1" applyAlignment="1">
      <alignment horizontal="center" vertical="center"/>
    </xf>
    <xf numFmtId="0" fontId="39" fillId="7" borderId="49" xfId="0" applyFont="1" applyFill="1" applyBorder="1" applyAlignment="1">
      <alignment horizontal="center" vertical="center"/>
    </xf>
    <xf numFmtId="0" fontId="35" fillId="0" borderId="57" xfId="0" applyFont="1" applyFill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Fill="1" applyBorder="1" applyAlignment="1">
      <alignment horizontal="center" vertical="center"/>
    </xf>
    <xf numFmtId="0" fontId="24" fillId="0" borderId="58" xfId="0" applyFont="1" applyFill="1" applyBorder="1" applyAlignment="1">
      <alignment horizontal="center" vertical="center"/>
    </xf>
    <xf numFmtId="0" fontId="0" fillId="0" borderId="58" xfId="0" applyBorder="1"/>
    <xf numFmtId="0" fontId="40" fillId="8" borderId="55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28" fillId="0" borderId="62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48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6" fillId="6" borderId="68" xfId="0" applyFont="1" applyFill="1" applyBorder="1" applyAlignment="1">
      <alignment horizontal="center" vertical="center"/>
    </xf>
    <xf numFmtId="0" fontId="36" fillId="6" borderId="69" xfId="0" applyFont="1" applyFill="1" applyBorder="1" applyAlignment="1">
      <alignment horizontal="center" vertical="center"/>
    </xf>
    <xf numFmtId="0" fontId="36" fillId="6" borderId="73" xfId="0" applyFont="1" applyFill="1" applyBorder="1" applyAlignment="1">
      <alignment horizontal="center" vertical="center"/>
    </xf>
    <xf numFmtId="0" fontId="36" fillId="6" borderId="59" xfId="0" applyFont="1" applyFill="1" applyBorder="1" applyAlignment="1">
      <alignment horizontal="center" vertical="center"/>
    </xf>
    <xf numFmtId="0" fontId="36" fillId="6" borderId="60" xfId="0" applyFont="1" applyFill="1" applyBorder="1" applyAlignment="1">
      <alignment horizontal="center" vertical="center"/>
    </xf>
    <xf numFmtId="0" fontId="36" fillId="6" borderId="67" xfId="0" applyFont="1" applyFill="1" applyBorder="1" applyAlignment="1">
      <alignment horizontal="center" vertical="center"/>
    </xf>
    <xf numFmtId="0" fontId="36" fillId="6" borderId="68" xfId="0" applyFont="1" applyFill="1" applyBorder="1" applyAlignment="1">
      <alignment horizontal="center" vertical="center" wrapText="1"/>
    </xf>
    <xf numFmtId="0" fontId="36" fillId="6" borderId="69" xfId="0" applyFont="1" applyFill="1" applyBorder="1" applyAlignment="1">
      <alignment horizontal="center" vertical="center" wrapText="1"/>
    </xf>
    <xf numFmtId="0" fontId="36" fillId="6" borderId="73" xfId="0" applyFont="1" applyFill="1" applyBorder="1" applyAlignment="1">
      <alignment horizontal="center" vertical="center" wrapText="1"/>
    </xf>
    <xf numFmtId="0" fontId="29" fillId="0" borderId="59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29" fillId="0" borderId="64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66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49" fontId="37" fillId="0" borderId="0" xfId="0" applyNumberFormat="1" applyFont="1" applyBorder="1" applyAlignment="1">
      <alignment horizontal="center" vertical="center" wrapText="1"/>
    </xf>
    <xf numFmtId="0" fontId="29" fillId="0" borderId="49" xfId="0" applyFont="1" applyBorder="1" applyAlignment="1">
      <alignment horizontal="center" vertical="center" wrapText="1"/>
    </xf>
  </cellXfs>
  <cellStyles count="5">
    <cellStyle name="40% - Accent1 2" xfId="3" xr:uid="{00000000-0005-0000-0000-000000000000}"/>
    <cellStyle name="Accent1 2" xfId="2" xr:uid="{00000000-0005-0000-0000-000001000000}"/>
    <cellStyle name="Heading 1 2" xfId="4" xr:uid="{00000000-0005-0000-0000-000002000000}"/>
    <cellStyle name="Normal" xfId="0" builtinId="0" customBuiltin="1"/>
    <cellStyle name="Normal 2" xfId="1" xr:uid="{00000000-0005-0000-0000-000004000000}"/>
  </cellStyles>
  <dxfs count="47"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  <tableStyle name="TableStyleLight9 2" pivot="0" count="4" xr9:uid="{00000000-0011-0000-FFFF-FFFF01000000}">
      <tableStyleElement type="wholeTable" dxfId="39"/>
      <tableStyleElement type="headerRow" dxfId="38"/>
      <tableStyleElement type="totalRow" dxfId="37"/>
      <tableStyleElement type="firstColumn" dxfId="36"/>
    </tableStyle>
  </tableStyles>
  <colors>
    <mruColors>
      <color rgb="FF1A781C"/>
      <color rgb="FF446F33"/>
      <color rgb="FF0E3E0F"/>
      <color rgb="FFFB97E1"/>
      <color rgb="FF99CC00"/>
      <color rgb="FF800000"/>
      <color rgb="FF24060C"/>
      <color rgb="FFFFFFFF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Spin" dx="16" fmlaLink="$N$2" max="2999" min="1900" page="10" val="2018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1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descr="Spinner control. Use spinner to change calendar year or type desired year in cell L2 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440307</xdr:colOff>
      <xdr:row>0</xdr:row>
      <xdr:rowOff>233632</xdr:rowOff>
    </xdr:from>
    <xdr:to>
      <xdr:col>14</xdr:col>
      <xdr:colOff>45365</xdr:colOff>
      <xdr:row>5</xdr:row>
      <xdr:rowOff>143774</xdr:rowOff>
    </xdr:to>
    <xdr:pic>
      <xdr:nvPicPr>
        <xdr:cNvPr id="27" name="Picture 8" descr="Escudo Nacional de México - Wikipedia, la enciclopedia libre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0519" y="233632"/>
          <a:ext cx="1069752" cy="988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115820</xdr:colOff>
      <xdr:row>4</xdr:row>
      <xdr:rowOff>50773</xdr:rowOff>
    </xdr:from>
    <xdr:ext cx="5162550" cy="340261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86292" y="976315"/>
          <a:ext cx="5162550" cy="3402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prstTxWarp prst="textArchUp">
            <a:avLst/>
          </a:prstTxWarp>
          <a:spAutoFit/>
        </a:bodyPr>
        <a:lstStyle/>
        <a:p>
          <a:pPr algn="ctr"/>
          <a:r>
            <a:rPr lang="es-MX" sz="32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228600">
                  <a:srgbClr val="92D050">
                    <a:alpha val="4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Septiembre    </a:t>
          </a:r>
          <a:r>
            <a:rPr lang="es-MX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228600">
                  <a:srgbClr val="FB97E1">
                    <a:alpha val="4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  </a:t>
          </a:r>
          <a:r>
            <a:rPr lang="es-MX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228600">
                  <a:srgbClr val="FF0000">
                    <a:alpha val="4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Matura MT Script Capitals" panose="03020802060602070202" pitchFamily="66" charset="0"/>
            </a:rPr>
            <a:t>2021</a:t>
          </a:r>
        </a:p>
        <a:p>
          <a:pPr algn="ctr"/>
          <a:r>
            <a:rPr lang="es-MX" sz="24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glow rad="101600">
                  <a:srgbClr val="99CC00">
                    <a:alpha val="60000"/>
                  </a:srgbClr>
                </a:glow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Cagakara" pitchFamily="50" charset="0"/>
            </a:rPr>
            <a:t> </a:t>
          </a:r>
          <a:endParaRPr lang="es-MX" sz="2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glow rad="101600">
                <a:srgbClr val="99CC00">
                  <a:alpha val="60000"/>
                </a:srgbClr>
              </a:glow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Cagakara" pitchFamily="50" charset="0"/>
          </a:endParaRPr>
        </a:p>
      </xdr:txBody>
    </xdr:sp>
    <xdr:clientData/>
  </xdr:oneCellAnchor>
  <xdr:twoCellAnchor>
    <xdr:from>
      <xdr:col>9</xdr:col>
      <xdr:colOff>553065</xdr:colOff>
      <xdr:row>6</xdr:row>
      <xdr:rowOff>45168</xdr:rowOff>
    </xdr:from>
    <xdr:to>
      <xdr:col>13</xdr:col>
      <xdr:colOff>801944</xdr:colOff>
      <xdr:row>7</xdr:row>
      <xdr:rowOff>239329</xdr:rowOff>
    </xdr:to>
    <xdr:sp macro="" textlink="">
      <xdr:nvSpPr>
        <xdr:cNvPr id="19" name="CuadroTexto 10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/>
      </xdr:nvSpPr>
      <xdr:spPr>
        <a:xfrm>
          <a:off x="4416835" y="1281882"/>
          <a:ext cx="2491863" cy="463012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000" b="1">
              <a:solidFill>
                <a:srgbClr val="1A781C"/>
              </a:solidFill>
              <a:latin typeface="Arial Black" panose="020B0A04020102020204" pitchFamily="34" charset="0"/>
            </a:rPr>
            <a:t>SERVICIO DE LUNES A VIERNES </a:t>
          </a:r>
        </a:p>
        <a:p>
          <a:pPr algn="ctr"/>
          <a:r>
            <a:rPr lang="es-ES" sz="1000" b="1">
              <a:solidFill>
                <a:srgbClr val="1A781C"/>
              </a:solidFill>
              <a:latin typeface="Arial Black" panose="020B0A04020102020204" pitchFamily="34" charset="0"/>
            </a:rPr>
            <a:t>DE 09:00 A 15:00 HORAS</a:t>
          </a:r>
          <a:r>
            <a:rPr lang="es-ES" sz="1050" b="1">
              <a:solidFill>
                <a:srgbClr val="1A781C"/>
              </a:solidFill>
              <a:latin typeface="Arial Black" panose="020B0A04020102020204" pitchFamily="34" charset="0"/>
            </a:rPr>
            <a:t>.</a:t>
          </a:r>
        </a:p>
      </xdr:txBody>
    </xdr:sp>
    <xdr:clientData/>
  </xdr:twoCellAnchor>
  <xdr:twoCellAnchor>
    <xdr:from>
      <xdr:col>9</xdr:col>
      <xdr:colOff>544770</xdr:colOff>
      <xdr:row>8</xdr:row>
      <xdr:rowOff>94021</xdr:rowOff>
    </xdr:from>
    <xdr:to>
      <xdr:col>14</xdr:col>
      <xdr:colOff>450750</xdr:colOff>
      <xdr:row>12</xdr:row>
      <xdr:rowOff>182205</xdr:rowOff>
    </xdr:to>
    <xdr:sp macro="" textlink="">
      <xdr:nvSpPr>
        <xdr:cNvPr id="20" name="CuadroTexto 1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/>
      </xdr:nvSpPr>
      <xdr:spPr>
        <a:xfrm>
          <a:off x="4408540" y="1868436"/>
          <a:ext cx="3047694" cy="1163588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MX" sz="1000" b="1">
              <a:solidFill>
                <a:sysClr val="windowText" lastClr="000000"/>
              </a:solidFill>
              <a:latin typeface="Arial Black" panose="020B0A04020102020204" pitchFamily="34" charset="0"/>
            </a:rPr>
            <a:t>CRISTOBAL DE OVEJO No. 37                </a:t>
          </a:r>
        </a:p>
        <a:p>
          <a:pPr algn="ctr"/>
          <a:r>
            <a:rPr lang="es-MX" sz="1000" b="1">
              <a:solidFill>
                <a:sysClr val="windowText" lastClr="000000"/>
              </a:solidFill>
              <a:latin typeface="Arial Black" panose="020B0A04020102020204" pitchFamily="34" charset="0"/>
            </a:rPr>
            <a:t>             349 77 6 06 91</a:t>
          </a:r>
          <a:r>
            <a:rPr lang="es-MX" sz="1000" b="1">
              <a:solidFill>
                <a:schemeClr val="accent6">
                  <a:lumMod val="50000"/>
                </a:schemeClr>
              </a:solidFill>
              <a:latin typeface="Arial Black" panose="020B0A04020102020204" pitchFamily="34" charset="0"/>
            </a:rPr>
            <a:t>	</a:t>
          </a:r>
          <a:r>
            <a:rPr lang="es-MX" sz="1050"/>
            <a:t>			</a:t>
          </a:r>
        </a:p>
        <a:p>
          <a:r>
            <a:rPr lang="es-MX"/>
            <a:t>				</a:t>
          </a:r>
        </a:p>
      </xdr:txBody>
    </xdr:sp>
    <xdr:clientData/>
  </xdr:twoCellAnchor>
  <xdr:twoCellAnchor>
    <xdr:from>
      <xdr:col>9</xdr:col>
      <xdr:colOff>42887</xdr:colOff>
      <xdr:row>10</xdr:row>
      <xdr:rowOff>6225</xdr:rowOff>
    </xdr:from>
    <xdr:to>
      <xdr:col>14</xdr:col>
      <xdr:colOff>138136</xdr:colOff>
      <xdr:row>15</xdr:row>
      <xdr:rowOff>243514</xdr:rowOff>
    </xdr:to>
    <xdr:sp macro="" textlink="">
      <xdr:nvSpPr>
        <xdr:cNvPr id="22" name="CuadroTexto 14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/>
      </xdr:nvSpPr>
      <xdr:spPr>
        <a:xfrm>
          <a:off x="3924774" y="2324574"/>
          <a:ext cx="3258268" cy="1621110"/>
        </a:xfrm>
        <a:prstGeom prst="rect">
          <a:avLst/>
        </a:prstGeom>
        <a:noFill/>
      </xdr:spPr>
      <xdr:txBody>
        <a:bodyPr wrap="square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200">
              <a:solidFill>
                <a:srgbClr val="C00000"/>
              </a:solidFill>
              <a:latin typeface="Aharoni" panose="02010803020104030203" pitchFamily="2" charset="-79"/>
              <a:cs typeface="Aharoni" panose="02010803020104030203" pitchFamily="2" charset="-79"/>
            </a:rPr>
            <a:t>CAMPAÑA  </a:t>
          </a:r>
          <a:r>
            <a:rPr lang="es-ES" sz="1200" u="sng">
              <a:solidFill>
                <a:srgbClr val="1A781C"/>
              </a:solidFill>
              <a:latin typeface="Aharoni" panose="02010803020104030203" pitchFamily="2" charset="-79"/>
              <a:cs typeface="Aharoni" panose="02010803020104030203" pitchFamily="2" charset="-79"/>
            </a:rPr>
            <a:t>GRATUITA</a:t>
          </a:r>
          <a:r>
            <a:rPr lang="es-ES" sz="1200" u="none">
              <a:solidFill>
                <a:schemeClr val="accent5">
                  <a:lumMod val="50000"/>
                </a:schemeClr>
              </a:solidFill>
              <a:latin typeface="Aharoni" panose="02010803020104030203" pitchFamily="2" charset="-79"/>
              <a:cs typeface="Aharoni" panose="02010803020104030203" pitchFamily="2" charset="-79"/>
            </a:rPr>
            <a:t>  </a:t>
          </a:r>
          <a:r>
            <a:rPr lang="es-ES" sz="1200">
              <a:solidFill>
                <a:srgbClr val="C00000"/>
              </a:solidFill>
              <a:latin typeface="Aharoni" panose="02010803020104030203" pitchFamily="2" charset="-79"/>
              <a:cs typeface="Aharoni" panose="02010803020104030203" pitchFamily="2" charset="-79"/>
            </a:rPr>
            <a:t>DE  REGISTROS EXTEMPORANEOS</a:t>
          </a:r>
          <a:r>
            <a:rPr lang="es-ES" sz="1200" baseline="0">
              <a:solidFill>
                <a:srgbClr val="C00000"/>
              </a:solidFill>
              <a:latin typeface="Aharoni" panose="02010803020104030203" pitchFamily="2" charset="-79"/>
              <a:cs typeface="Aharoni" panose="02010803020104030203" pitchFamily="2" charset="-79"/>
            </a:rPr>
            <a:t>  </a:t>
          </a:r>
          <a:r>
            <a:rPr lang="es-ES" sz="1200">
              <a:solidFill>
                <a:srgbClr val="C00000"/>
              </a:solidFill>
              <a:latin typeface="Aharoni" panose="02010803020104030203" pitchFamily="2" charset="-79"/>
              <a:cs typeface="Aharoni" panose="02010803020104030203" pitchFamily="2" charset="-79"/>
            </a:rPr>
            <a:t>TODO EL AÑO.</a:t>
          </a:r>
          <a:r>
            <a:rPr lang="es-ES" sz="1200">
              <a:latin typeface="Aharoni" panose="02010803020104030203" pitchFamily="2" charset="-79"/>
              <a:cs typeface="Aharoni" panose="02010803020104030203" pitchFamily="2" charset="-79"/>
            </a:rPr>
            <a:t>				</a:t>
          </a:r>
        </a:p>
        <a:p>
          <a:pPr algn="ctr"/>
          <a:r>
            <a:rPr lang="es-ES"/>
            <a:t>				</a:t>
          </a:r>
        </a:p>
        <a:p>
          <a:pPr algn="ctr"/>
          <a:r>
            <a:rPr lang="es-ES"/>
            <a:t>				</a:t>
          </a:r>
        </a:p>
      </xdr:txBody>
    </xdr:sp>
    <xdr:clientData/>
  </xdr:twoCellAnchor>
  <xdr:twoCellAnchor editAs="oneCell">
    <xdr:from>
      <xdr:col>1</xdr:col>
      <xdr:colOff>77394</xdr:colOff>
      <xdr:row>0</xdr:row>
      <xdr:rowOff>103627</xdr:rowOff>
    </xdr:from>
    <xdr:to>
      <xdr:col>3</xdr:col>
      <xdr:colOff>319289</xdr:colOff>
      <xdr:row>5</xdr:row>
      <xdr:rowOff>49857</xdr:rowOff>
    </xdr:to>
    <xdr:pic>
      <xdr:nvPicPr>
        <xdr:cNvPr id="28" name="Picture 8" descr="Escudo Nacional de México - Wikipedia, la enciclopedia libre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598573" y="103627"/>
          <a:ext cx="1140480" cy="10245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Galería">
  <a:themeElements>
    <a:clrScheme name="Galería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ería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ería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K34" sqref="K34:K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4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111">
        <v>2018</v>
      </c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112"/>
    </row>
    <row r="4" spans="1:14" ht="18" customHeight="1">
      <c r="A4" s="4"/>
      <c r="B4" s="65"/>
      <c r="C4" s="10">
        <f>IF(DAY(JanSun1)=1,JanSun1-6,JanSun1+1)</f>
        <v>43101</v>
      </c>
      <c r="D4" s="10">
        <f>IF(DAY(JanSun1)=1,JanSun1-5,JanSun1+2)</f>
        <v>43102</v>
      </c>
      <c r="E4" s="10">
        <f>IF(DAY(JanSun1)=1,JanSun1-4,JanSun1+3)</f>
        <v>43103</v>
      </c>
      <c r="F4" s="10">
        <f>IF(DAY(JanSun1)=1,JanSun1-3,JanSun1+4)</f>
        <v>43104</v>
      </c>
      <c r="G4" s="10">
        <f>IF(DAY(JanSun1)=1,JanSun1-2,JanSun1+5)</f>
        <v>43105</v>
      </c>
      <c r="H4" s="10">
        <f>IF(DAY(JanSun1)=1,JanSun1-1,JanSun1+6)</f>
        <v>43106</v>
      </c>
      <c r="I4" s="10">
        <f>IF(DAY(JanSun1)=1,JanSun1,JanSun1+7)</f>
        <v>43107</v>
      </c>
      <c r="J4" s="5"/>
      <c r="K4" s="108" t="s">
        <v>11</v>
      </c>
      <c r="L4" s="16">
        <v>3</v>
      </c>
      <c r="M4" s="109"/>
      <c r="N4" s="110"/>
    </row>
    <row r="5" spans="1:14" ht="18" customHeight="1">
      <c r="A5" s="4"/>
      <c r="B5" s="65"/>
      <c r="C5" s="10">
        <f>IF(DAY(JanSun1)=1,JanSun1+1,JanSun1+8)</f>
        <v>43108</v>
      </c>
      <c r="D5" s="10">
        <f>IF(DAY(JanSun1)=1,JanSun1+2,JanSun1+9)</f>
        <v>43109</v>
      </c>
      <c r="E5" s="10">
        <f>IF(DAY(JanSun1)=1,JanSun1+3,JanSun1+10)</f>
        <v>43110</v>
      </c>
      <c r="F5" s="10">
        <f>IF(DAY(JanSun1)=1,JanSun1+4,JanSun1+11)</f>
        <v>43111</v>
      </c>
      <c r="G5" s="10">
        <f>IF(DAY(JanSun1)=1,JanSun1+5,JanSun1+12)</f>
        <v>43112</v>
      </c>
      <c r="H5" s="10">
        <f>IF(DAY(JanSun1)=1,JanSun1+6,JanSun1+13)</f>
        <v>43113</v>
      </c>
      <c r="I5" s="10">
        <f>IF(DAY(JanSun1)=1,JanSun1+7,JanSun1+14)</f>
        <v>43114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IF(DAY(JanSun1)=1,JanSun1+8,JanSun1+15)</f>
        <v>43115</v>
      </c>
      <c r="D6" s="10">
        <f>IF(DAY(JanSun1)=1,JanSun1+9,JanSun1+16)</f>
        <v>43116</v>
      </c>
      <c r="E6" s="10">
        <f>IF(DAY(JanSun1)=1,JanSun1+10,JanSun1+17)</f>
        <v>43117</v>
      </c>
      <c r="F6" s="10">
        <f>IF(DAY(JanSun1)=1,JanSun1+11,JanSun1+18)</f>
        <v>43118</v>
      </c>
      <c r="G6" s="10">
        <f>IF(DAY(JanSun1)=1,JanSun1+12,JanSun1+19)</f>
        <v>43119</v>
      </c>
      <c r="H6" s="10">
        <f>IF(DAY(JanSun1)=1,JanSun1+13,JanSun1+20)</f>
        <v>43120</v>
      </c>
      <c r="I6" s="10">
        <f>IF(DAY(JanSun1)=1,JanSun1+14,JanSun1+21)</f>
        <v>43121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IF(DAY(JanSun1)=1,JanSun1+15,JanSun1+22)</f>
        <v>43122</v>
      </c>
      <c r="D7" s="10">
        <f>IF(DAY(JanSun1)=1,JanSun1+16,JanSun1+23)</f>
        <v>43123</v>
      </c>
      <c r="E7" s="10">
        <f>IF(DAY(JanSun1)=1,JanSun1+17,JanSun1+24)</f>
        <v>43124</v>
      </c>
      <c r="F7" s="10">
        <f>IF(DAY(JanSun1)=1,JanSun1+18,JanSun1+25)</f>
        <v>43125</v>
      </c>
      <c r="G7" s="10">
        <f>IF(DAY(JanSun1)=1,JanSun1+19,JanSun1+26)</f>
        <v>43126</v>
      </c>
      <c r="H7" s="10">
        <f>IF(DAY(JanSun1)=1,JanSun1+20,JanSun1+27)</f>
        <v>43127</v>
      </c>
      <c r="I7" s="10">
        <f>IF(DAY(JanSun1)=1,JanSun1+21,JanSun1+28)</f>
        <v>43128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IF(DAY(JanSun1)=1,JanSun1+22,JanSun1+29)</f>
        <v>43129</v>
      </c>
      <c r="D8" s="10">
        <f>IF(DAY(JanSun1)=1,JanSun1+23,JanSun1+30)</f>
        <v>43130</v>
      </c>
      <c r="E8" s="10">
        <f>IF(DAY(JanSun1)=1,JanSun1+24,JanSun1+31)</f>
        <v>43131</v>
      </c>
      <c r="F8" s="10">
        <f>IF(DAY(JanSun1)=1,JanSun1+25,JanSun1+32)</f>
        <v>43132</v>
      </c>
      <c r="G8" s="10">
        <f>IF(DAY(JanSun1)=1,JanSun1+26,JanSun1+33)</f>
        <v>43133</v>
      </c>
      <c r="H8" s="10">
        <f>IF(DAY(JanSun1)=1,JanSun1+27,JanSun1+34)</f>
        <v>43134</v>
      </c>
      <c r="I8" s="10">
        <f>IF(DAY(JanSun1)=1,JanSun1+28,JanSun1+35)</f>
        <v>43135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IF(DAY(JanSun1)=1,JanSun1+29,JanSun1+36)</f>
        <v>43136</v>
      </c>
      <c r="D9" s="10">
        <f>IF(DAY(JanSun1)=1,JanSun1+30,JanSun1+37)</f>
        <v>43137</v>
      </c>
      <c r="E9" s="10">
        <f>IF(DAY(JanSun1)=1,JanSun1+31,JanSun1+38)</f>
        <v>43138</v>
      </c>
      <c r="F9" s="10">
        <f>IF(DAY(JanSun1)=1,JanSun1+32,JanSun1+39)</f>
        <v>43139</v>
      </c>
      <c r="G9" s="10">
        <f>IF(DAY(JanSun1)=1,JanSun1+33,JanSun1+40)</f>
        <v>43140</v>
      </c>
      <c r="H9" s="10">
        <f>IF(DAY(JanSun1)=1,JanSun1+34,JanSun1+41)</f>
        <v>43141</v>
      </c>
      <c r="I9" s="10">
        <f>IF(DAY(JanSun1)=1,JanSun1+35,JanSun1+42)</f>
        <v>43142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>
        <v>18</v>
      </c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35" priority="4" stopIfTrue="1">
      <formula>DAY(C4)&gt;8</formula>
    </cfRule>
  </conditionalFormatting>
  <conditionalFormatting sqref="C8:I10">
    <cfRule type="expression" dxfId="34" priority="3" stopIfTrue="1">
      <formula>AND(DAY(C8)&gt;=1,DAY(C8)&lt;=15)</formula>
    </cfRule>
  </conditionalFormatting>
  <conditionalFormatting sqref="C4:I9">
    <cfRule type="expression" dxfId="33" priority="15">
      <formula>VLOOKUP(DAY(C4),DíasDeTareas,1,FALSE)=DAY(C4)</formula>
    </cfRule>
  </conditionalFormatting>
  <conditionalFormatting sqref="B14:J33">
    <cfRule type="expression" dxfId="32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 xr:uid="{00000000-0002-0000-0000-000000000000}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BB3E-418C-4A4D-B14C-32ACD0C08BCD}">
  <dimension ref="A1:W40"/>
  <sheetViews>
    <sheetView tabSelected="1" zoomScale="106" zoomScaleNormal="106" workbookViewId="0">
      <selection activeCell="Q11" sqref="Q11"/>
    </sheetView>
  </sheetViews>
  <sheetFormatPr baseColWidth="10" defaultColWidth="8.42578125" defaultRowHeight="21" customHeight="1"/>
  <cols>
    <col min="1" max="1" width="7.85546875" customWidth="1"/>
    <col min="2" max="8" width="6.7109375" customWidth="1"/>
    <col min="9" max="9" width="3.28515625" customWidth="1"/>
    <col min="14" max="14" width="13.42578125" customWidth="1"/>
    <col min="15" max="15" width="8.28515625" customWidth="1"/>
  </cols>
  <sheetData>
    <row r="1" spans="1:23" ht="23.25" customHeight="1">
      <c r="B1" s="124" t="s">
        <v>26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23" ht="12" customHeight="1">
      <c r="B2" s="143" t="s">
        <v>31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31"/>
      <c r="P2" s="31"/>
      <c r="Q2" s="31"/>
      <c r="R2" s="31"/>
      <c r="S2" s="31"/>
      <c r="T2" s="31"/>
      <c r="U2" s="31"/>
      <c r="V2" s="31"/>
      <c r="W2" s="31"/>
    </row>
    <row r="3" spans="1:23" ht="16.5" customHeight="1"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31"/>
      <c r="P3" s="31"/>
      <c r="Q3" s="31"/>
      <c r="R3" s="31"/>
      <c r="S3" s="31"/>
      <c r="T3" s="31"/>
      <c r="U3" s="31"/>
      <c r="V3" s="31"/>
      <c r="W3" s="31"/>
    </row>
    <row r="4" spans="1:23" ht="21" customHeight="1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23" ht="12" customHeight="1"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30"/>
      <c r="P5" s="30"/>
      <c r="Q5" s="30"/>
      <c r="R5" s="30"/>
      <c r="S5" s="30"/>
      <c r="T5" s="30"/>
      <c r="U5" s="30"/>
      <c r="V5" s="30"/>
      <c r="W5" s="30"/>
    </row>
    <row r="6" spans="1:23" ht="12.75" customHeight="1" thickBot="1">
      <c r="B6" s="27"/>
      <c r="C6" s="39"/>
      <c r="D6" s="27"/>
      <c r="E6" s="27"/>
      <c r="F6" s="27"/>
      <c r="G6" s="27"/>
      <c r="H6" s="27"/>
      <c r="K6" s="29"/>
      <c r="L6" s="29"/>
      <c r="M6" s="29"/>
      <c r="N6" s="29"/>
      <c r="O6" s="29"/>
      <c r="P6" s="29"/>
      <c r="Q6" s="29"/>
      <c r="R6" s="29"/>
      <c r="S6" s="29"/>
      <c r="U6" s="29"/>
      <c r="V6" s="29"/>
      <c r="W6" s="29"/>
    </row>
    <row r="7" spans="1:23" ht="21" customHeight="1" thickTop="1" thickBot="1">
      <c r="A7" s="27"/>
      <c r="B7" s="55" t="s">
        <v>9</v>
      </c>
      <c r="C7" s="55" t="s">
        <v>5</v>
      </c>
      <c r="D7" s="54" t="s">
        <v>1</v>
      </c>
      <c r="E7" s="55" t="s">
        <v>1</v>
      </c>
      <c r="F7" s="54" t="s">
        <v>7</v>
      </c>
      <c r="G7" s="55" t="s">
        <v>8</v>
      </c>
      <c r="H7" s="54" t="s">
        <v>0</v>
      </c>
      <c r="I7" s="37"/>
      <c r="J7" s="145"/>
      <c r="K7" s="145"/>
      <c r="L7" s="145"/>
      <c r="M7" s="145"/>
      <c r="N7" s="145"/>
      <c r="O7" s="28"/>
      <c r="P7" s="28"/>
      <c r="Q7" s="28"/>
      <c r="R7" s="28"/>
      <c r="S7" s="28"/>
      <c r="T7" s="28"/>
      <c r="U7" s="28"/>
      <c r="V7" s="28"/>
      <c r="W7" s="28"/>
    </row>
    <row r="8" spans="1:23" ht="21" customHeight="1" thickTop="1" thickBot="1">
      <c r="B8" s="58"/>
      <c r="C8" s="50"/>
      <c r="D8" s="43"/>
      <c r="E8" s="50">
        <v>1</v>
      </c>
      <c r="F8" s="56">
        <v>2</v>
      </c>
      <c r="G8" s="44">
        <v>3</v>
      </c>
      <c r="H8" s="63">
        <v>4</v>
      </c>
      <c r="I8" s="36"/>
      <c r="J8" s="145"/>
      <c r="K8" s="145"/>
      <c r="L8" s="145"/>
      <c r="M8" s="145"/>
      <c r="N8" s="145"/>
      <c r="O8" s="28"/>
      <c r="P8" s="28"/>
      <c r="Q8" s="28"/>
      <c r="R8" s="28"/>
      <c r="S8" s="28"/>
      <c r="U8" s="28"/>
      <c r="W8" s="28"/>
    </row>
    <row r="9" spans="1:23" ht="21" customHeight="1" thickBot="1">
      <c r="A9" s="41"/>
      <c r="B9" s="52">
        <v>5</v>
      </c>
      <c r="C9" s="45">
        <v>6</v>
      </c>
      <c r="D9" s="45">
        <v>7</v>
      </c>
      <c r="E9" s="46">
        <v>8</v>
      </c>
      <c r="F9" s="46">
        <v>9</v>
      </c>
      <c r="G9" s="46">
        <v>10</v>
      </c>
      <c r="H9" s="53">
        <v>11</v>
      </c>
      <c r="I9" s="36"/>
      <c r="J9" s="145"/>
      <c r="K9" s="145"/>
      <c r="L9" s="145"/>
      <c r="M9" s="145"/>
      <c r="N9" s="145"/>
      <c r="O9" s="28"/>
      <c r="P9" s="28"/>
      <c r="Q9" s="28"/>
      <c r="R9" s="28"/>
      <c r="S9" s="28"/>
      <c r="T9" s="28"/>
      <c r="U9" s="28"/>
      <c r="V9" s="28"/>
      <c r="W9" s="28"/>
    </row>
    <row r="10" spans="1:23" ht="21" customHeight="1" thickBot="1">
      <c r="B10" s="59">
        <v>12</v>
      </c>
      <c r="C10" s="45">
        <v>13</v>
      </c>
      <c r="D10" s="45">
        <v>14</v>
      </c>
      <c r="E10" s="46">
        <v>15</v>
      </c>
      <c r="F10" s="45">
        <v>16</v>
      </c>
      <c r="G10" s="46">
        <v>17</v>
      </c>
      <c r="H10" s="53">
        <v>18</v>
      </c>
      <c r="I10" s="36"/>
      <c r="J10" s="145"/>
      <c r="K10" s="145"/>
      <c r="L10" s="145"/>
      <c r="M10" s="145"/>
      <c r="N10" s="145"/>
      <c r="O10" s="28"/>
      <c r="P10" s="28"/>
      <c r="Q10" s="28"/>
      <c r="R10" s="28"/>
      <c r="S10" s="28"/>
      <c r="T10" s="28"/>
      <c r="U10" s="28"/>
      <c r="V10" s="28"/>
      <c r="W10" s="28"/>
    </row>
    <row r="11" spans="1:23" ht="21" customHeight="1" thickBot="1">
      <c r="B11" s="59">
        <v>18</v>
      </c>
      <c r="C11" s="45">
        <v>20</v>
      </c>
      <c r="D11" s="45">
        <v>21</v>
      </c>
      <c r="E11" s="45">
        <v>22</v>
      </c>
      <c r="F11" s="45">
        <v>23</v>
      </c>
      <c r="G11" s="45">
        <v>24</v>
      </c>
      <c r="H11" s="53">
        <v>25</v>
      </c>
      <c r="I11" s="36"/>
      <c r="J11" s="145"/>
      <c r="K11" s="145"/>
      <c r="L11" s="145"/>
      <c r="M11" s="145"/>
      <c r="N11" s="145"/>
      <c r="O11" s="27"/>
      <c r="P11" s="27"/>
      <c r="Q11" s="27"/>
      <c r="R11" s="27"/>
      <c r="S11" s="27"/>
      <c r="T11" s="27"/>
      <c r="U11" s="27"/>
      <c r="V11" s="27"/>
      <c r="W11" s="27"/>
    </row>
    <row r="12" spans="1:23" ht="21" customHeight="1" thickBot="1">
      <c r="B12" s="60">
        <v>26</v>
      </c>
      <c r="C12" s="51">
        <v>27</v>
      </c>
      <c r="D12" s="47">
        <v>28</v>
      </c>
      <c r="E12" s="47">
        <v>29</v>
      </c>
      <c r="F12" s="47">
        <v>30</v>
      </c>
      <c r="G12" s="47"/>
      <c r="H12" s="57"/>
      <c r="I12" s="36"/>
      <c r="J12" s="145"/>
      <c r="K12" s="145"/>
      <c r="L12" s="145"/>
      <c r="M12" s="145"/>
      <c r="N12" s="145"/>
      <c r="O12" s="27"/>
      <c r="P12" s="27"/>
      <c r="Q12" s="27"/>
      <c r="R12" s="27"/>
      <c r="T12" s="27"/>
      <c r="U12" s="27"/>
      <c r="V12" s="27"/>
      <c r="W12" s="27"/>
    </row>
    <row r="13" spans="1:23" ht="21" customHeight="1" thickTop="1" thickBot="1">
      <c r="A13" s="27"/>
      <c r="B13" s="40"/>
      <c r="C13" s="61"/>
      <c r="D13" s="62"/>
      <c r="E13" s="27"/>
      <c r="F13" s="27"/>
      <c r="G13" s="27"/>
      <c r="H13" s="27"/>
      <c r="I13" s="36"/>
      <c r="J13" s="48"/>
      <c r="K13" s="48"/>
      <c r="L13" s="48"/>
      <c r="M13" s="48"/>
      <c r="N13" s="48"/>
      <c r="O13" s="28"/>
      <c r="P13" s="28"/>
      <c r="Q13" s="35"/>
      <c r="R13" s="28"/>
      <c r="S13" s="28"/>
      <c r="T13" s="28"/>
      <c r="U13" s="28"/>
      <c r="V13" s="28"/>
      <c r="W13" s="28"/>
    </row>
    <row r="14" spans="1:23" ht="21" customHeight="1" thickTop="1" thickBot="1">
      <c r="A14" s="27"/>
      <c r="B14" s="128" t="s">
        <v>29</v>
      </c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30"/>
      <c r="O14" s="42"/>
      <c r="P14" s="28"/>
      <c r="Q14" s="28"/>
      <c r="R14" s="28"/>
      <c r="S14" s="28"/>
      <c r="T14" s="28"/>
      <c r="U14" s="28"/>
      <c r="V14" s="28"/>
      <c r="W14" s="28"/>
    </row>
    <row r="15" spans="1:23" ht="24" customHeight="1" thickTop="1" thickBot="1">
      <c r="A15" s="27"/>
      <c r="B15" s="146" t="s">
        <v>32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28"/>
      <c r="P15" s="28"/>
      <c r="Q15" s="28"/>
      <c r="S15" s="28"/>
      <c r="T15" s="28"/>
      <c r="U15" s="28"/>
      <c r="V15" s="28"/>
      <c r="W15" s="28"/>
    </row>
    <row r="16" spans="1:23" ht="21" customHeight="1" thickTop="1" thickBot="1"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28"/>
      <c r="P16" s="28"/>
      <c r="Q16" s="28"/>
      <c r="R16" s="28"/>
      <c r="S16" s="28"/>
      <c r="T16" s="28"/>
      <c r="U16" s="28"/>
      <c r="V16" s="28"/>
      <c r="W16" s="28"/>
    </row>
    <row r="17" spans="1:17" ht="21" customHeight="1" thickTop="1" thickBot="1"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27"/>
    </row>
    <row r="18" spans="1:17" ht="21" customHeight="1" thickTop="1" thickBot="1">
      <c r="B18" s="146"/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27"/>
      <c r="Q18" s="27"/>
    </row>
    <row r="19" spans="1:17" ht="21" customHeight="1" thickTop="1" thickBot="1">
      <c r="B19" s="146"/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Q19" s="27"/>
    </row>
    <row r="20" spans="1:17" ht="21" customHeight="1" thickTop="1" thickBot="1"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</row>
    <row r="21" spans="1:17" ht="21" customHeight="1" thickTop="1" thickBot="1">
      <c r="B21" s="146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1:17" ht="21" customHeight="1" thickTop="1" thickBot="1">
      <c r="B22" s="146"/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  <row r="23" spans="1:17" ht="21" customHeight="1" thickTop="1" thickBot="1">
      <c r="B23" s="146"/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</row>
    <row r="24" spans="1:17" ht="21" customHeight="1" thickTop="1" thickBot="1"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</row>
    <row r="25" spans="1:17" ht="10.5" customHeight="1" thickTop="1" thickBot="1"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49"/>
    </row>
    <row r="26" spans="1:17" ht="18" customHeight="1" thickTop="1" thickBot="1">
      <c r="A26" s="27"/>
      <c r="B26" s="131" t="s">
        <v>27</v>
      </c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3"/>
      <c r="O26" s="27"/>
    </row>
    <row r="27" spans="1:17" ht="21" customHeight="1" thickTop="1" thickBot="1">
      <c r="A27" s="27"/>
      <c r="B27" s="134" t="s">
        <v>28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6"/>
      <c r="O27" s="27"/>
    </row>
    <row r="28" spans="1:17" ht="12" customHeight="1" thickTop="1" thickBot="1">
      <c r="B28" s="38"/>
      <c r="C28" s="32"/>
      <c r="D28" s="32"/>
      <c r="E28" s="32"/>
      <c r="F28" s="32"/>
      <c r="G28" s="32"/>
      <c r="H28" s="32"/>
      <c r="I28" s="32"/>
      <c r="J28" s="32"/>
      <c r="K28" s="38"/>
      <c r="L28" s="38"/>
      <c r="M28" s="38"/>
      <c r="N28" s="38"/>
    </row>
    <row r="29" spans="1:17" ht="18" customHeight="1" thickTop="1" thickBot="1">
      <c r="A29" s="27"/>
      <c r="B29" s="125" t="s">
        <v>24</v>
      </c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7"/>
      <c r="O29" s="27"/>
    </row>
    <row r="30" spans="1:17" ht="21" customHeight="1" thickTop="1">
      <c r="A30" s="27"/>
      <c r="B30" s="137" t="s">
        <v>30</v>
      </c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9"/>
      <c r="O30" s="27"/>
    </row>
    <row r="31" spans="1:17" ht="21" customHeight="1" thickBot="1"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2"/>
      <c r="O31" s="27"/>
    </row>
    <row r="32" spans="1:17" ht="12" customHeight="1" thickTop="1" thickBot="1">
      <c r="B32" s="27"/>
      <c r="C32" s="27"/>
      <c r="D32" s="27"/>
      <c r="F32" s="27"/>
      <c r="M32" s="27"/>
      <c r="N32" s="27"/>
    </row>
    <row r="33" spans="1:15" ht="18" customHeight="1" thickTop="1" thickBot="1">
      <c r="A33" s="27"/>
      <c r="B33" s="128" t="s">
        <v>25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30"/>
      <c r="O33" s="27"/>
    </row>
    <row r="34" spans="1:15" ht="21" customHeight="1" thickTop="1">
      <c r="A34" s="27"/>
      <c r="B34" s="115" t="s">
        <v>33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7"/>
      <c r="O34" s="27"/>
    </row>
    <row r="35" spans="1:15" ht="21" customHeight="1">
      <c r="A35" s="27"/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  <c r="O35" s="27"/>
    </row>
    <row r="36" spans="1:15" ht="21" customHeight="1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  <c r="O36" s="27"/>
    </row>
    <row r="37" spans="1:15" ht="21" customHeight="1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27"/>
    </row>
    <row r="38" spans="1:15" ht="21" customHeight="1" thickBot="1">
      <c r="B38" s="121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3"/>
      <c r="O38" s="27"/>
    </row>
    <row r="39" spans="1:15" ht="21" customHeight="1" thickTop="1"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5" ht="21" customHeight="1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</sheetData>
  <mergeCells count="12">
    <mergeCell ref="B34:N38"/>
    <mergeCell ref="B1:N1"/>
    <mergeCell ref="B29:N29"/>
    <mergeCell ref="B33:N33"/>
    <mergeCell ref="B26:N26"/>
    <mergeCell ref="B27:N27"/>
    <mergeCell ref="B30:N31"/>
    <mergeCell ref="B2:N3"/>
    <mergeCell ref="B4:N5"/>
    <mergeCell ref="B14:N14"/>
    <mergeCell ref="J7:N12"/>
    <mergeCell ref="B15:N24"/>
  </mergeCells>
  <pageMargins left="0.31496062992125984" right="0.31496062992125984" top="0.35433070866141736" bottom="0.35433070866141736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O33"/>
  <sheetViews>
    <sheetView showGridLines="0" topLeftCell="A8" zoomScaleNormal="100" zoomScalePageLayoutView="84" workbookViewId="0">
      <selection activeCell="B14" sqref="B14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23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IF(DAY(FebDom1)=1,FebDom1-6,FebDom1+1)</f>
        <v>43129</v>
      </c>
      <c r="D4" s="10">
        <f>IF(DAY(FebDom1)=1,FebDom1-5,FebDom1+2)</f>
        <v>43130</v>
      </c>
      <c r="E4" s="10">
        <f>IF(DAY(FebDom1)=1,FebDom1-4,FebDom1+3)</f>
        <v>43131</v>
      </c>
      <c r="F4" s="10">
        <f>IF(DAY(FebDom1)=1,FebDom1-3,FebDom1+4)</f>
        <v>43132</v>
      </c>
      <c r="G4" s="10">
        <f>IF(DAY(FebDom1)=1,FebDom1-2,FebDom1+5)</f>
        <v>43133</v>
      </c>
      <c r="H4" s="10">
        <f>IF(DAY(FebDom1)=1,FebDom1-1,FebDom1+6)</f>
        <v>43134</v>
      </c>
      <c r="I4" s="10">
        <f>IF(DAY(FebDom1)=1,FebDom1,FebDom1+7)</f>
        <v>43135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IF(DAY(FebDom1)=1,FebDom1+1,FebDom1+8)</f>
        <v>43136</v>
      </c>
      <c r="D5" s="10">
        <f>IF(DAY(FebDom1)=1,FebDom1+2,FebDom1+9)</f>
        <v>43137</v>
      </c>
      <c r="E5" s="10">
        <f>IF(DAY(FebDom1)=1,FebDom1+3,FebDom1+10)</f>
        <v>43138</v>
      </c>
      <c r="F5" s="10">
        <f>IF(DAY(FebDom1)=1,FebDom1+4,FebDom1+11)</f>
        <v>43139</v>
      </c>
      <c r="G5" s="10">
        <f>IF(DAY(FebDom1)=1,FebDom1+5,FebDom1+12)</f>
        <v>43140</v>
      </c>
      <c r="H5" s="10">
        <f>IF(DAY(FebDom1)=1,FebDom1+6,FebDom1+13)</f>
        <v>43141</v>
      </c>
      <c r="I5" s="10">
        <f>IF(DAY(FebDom1)=1,FebDom1+7,FebDom1+14)</f>
        <v>43142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IF(DAY(FebDom1)=1,FebDom1+8,FebDom1+15)</f>
        <v>43143</v>
      </c>
      <c r="D6" s="10">
        <f>IF(DAY(FebDom1)=1,FebDom1+9,FebDom1+16)</f>
        <v>43144</v>
      </c>
      <c r="E6" s="10">
        <f>IF(DAY(FebDom1)=1,FebDom1+10,FebDom1+17)</f>
        <v>43145</v>
      </c>
      <c r="F6" s="10">
        <f>IF(DAY(FebDom1)=1,FebDom1+11,FebDom1+18)</f>
        <v>43146</v>
      </c>
      <c r="G6" s="10">
        <f>IF(DAY(FebDom1)=1,FebDom1+12,FebDom1+19)</f>
        <v>43147</v>
      </c>
      <c r="H6" s="10">
        <f>IF(DAY(FebDom1)=1,FebDom1+13,FebDom1+20)</f>
        <v>43148</v>
      </c>
      <c r="I6" s="10">
        <f>IF(DAY(FebDom1)=1,FebDom1+14,FebDom1+21)</f>
        <v>43149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IF(DAY(FebDom1)=1,FebDom1+15,FebDom1+22)</f>
        <v>43150</v>
      </c>
      <c r="D7" s="10">
        <f>IF(DAY(FebDom1)=1,FebDom1+16,FebDom1+23)</f>
        <v>43151</v>
      </c>
      <c r="E7" s="10">
        <f>IF(DAY(FebDom1)=1,FebDom1+17,FebDom1+24)</f>
        <v>43152</v>
      </c>
      <c r="F7" s="10">
        <f>IF(DAY(FebDom1)=1,FebDom1+18,FebDom1+25)</f>
        <v>43153</v>
      </c>
      <c r="G7" s="10">
        <f>IF(DAY(FebDom1)=1,FebDom1+19,FebDom1+26)</f>
        <v>43154</v>
      </c>
      <c r="H7" s="10">
        <f>IF(DAY(FebDom1)=1,FebDom1+20,FebDom1+27)</f>
        <v>43155</v>
      </c>
      <c r="I7" s="10">
        <f>IF(DAY(FebDom1)=1,FebDom1+21,FebDom1+28)</f>
        <v>43156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IF(DAY(FebDom1)=1,FebDom1+22,FebDom1+29)</f>
        <v>43157</v>
      </c>
      <c r="D8" s="10">
        <f>IF(DAY(FebDom1)=1,FebDom1+23,FebDom1+30)</f>
        <v>43158</v>
      </c>
      <c r="E8" s="10">
        <f>IF(DAY(FebDom1)=1,FebDom1+24,FebDom1+31)</f>
        <v>43159</v>
      </c>
      <c r="F8" s="10">
        <f>IF(DAY(FebDom1)=1,FebDom1+25,FebDom1+32)</f>
        <v>43160</v>
      </c>
      <c r="G8" s="10">
        <f>IF(DAY(FebDom1)=1,FebDom1+26,FebDom1+33)</f>
        <v>43161</v>
      </c>
      <c r="H8" s="10">
        <f>IF(DAY(FebDom1)=1,FebDom1+27,FebDom1+34)</f>
        <v>43162</v>
      </c>
      <c r="I8" s="10">
        <f>IF(DAY(FebDom1)=1,FebDom1+28,FebDom1+35)</f>
        <v>43163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IF(DAY(FebDom1)=1,FebDom1+29,FebDom1+36)</f>
        <v>43164</v>
      </c>
      <c r="D9" s="10">
        <f>IF(DAY(FebDom1)=1,FebDom1+30,FebDom1+37)</f>
        <v>43165</v>
      </c>
      <c r="E9" s="10">
        <f>IF(DAY(FebDom1)=1,FebDom1+31,FebDom1+38)</f>
        <v>43166</v>
      </c>
      <c r="F9" s="10">
        <f>IF(DAY(FebDom1)=1,FebDom1+32,FebDom1+39)</f>
        <v>43167</v>
      </c>
      <c r="G9" s="10">
        <f>IF(DAY(FebDom1)=1,FebDom1+33,FebDom1+40)</f>
        <v>43168</v>
      </c>
      <c r="H9" s="10">
        <f>IF(DAY(FebDom1)=1,FebDom1+34,FebDom1+41)</f>
        <v>43169</v>
      </c>
      <c r="I9" s="10">
        <f>IF(DAY(FebDom1)=1,FebDom1+35,FebDom1+42)</f>
        <v>43170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1" priority="3" stopIfTrue="1">
      <formula>DAY(C4)&gt;8</formula>
    </cfRule>
  </conditionalFormatting>
  <conditionalFormatting sqref="C8:I10">
    <cfRule type="expression" dxfId="30" priority="2" stopIfTrue="1">
      <formula>AND(DAY(C8)&gt;=1,DAY(C8)&lt;=15)</formula>
    </cfRule>
  </conditionalFormatting>
  <conditionalFormatting sqref="C4:I9">
    <cfRule type="expression" dxfId="29" priority="4">
      <formula>VLOOKUP(DAY(C4),DíasDeTareas,1,FALSE)=DAY(C4)</formula>
    </cfRule>
  </conditionalFormatting>
  <conditionalFormatting sqref="B14:J33">
    <cfRule type="expression" dxfId="2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B26" sqref="B26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22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IF(DAY(MarDom1)=1,MarDom1-6,MarDom1+1)</f>
        <v>43157</v>
      </c>
      <c r="D4" s="10">
        <f>IF(DAY(MarDom1)=1,MarDom1-5,MarDom1+2)</f>
        <v>43158</v>
      </c>
      <c r="E4" s="10">
        <f>IF(DAY(MarDom1)=1,MarDom1-4,MarDom1+3)</f>
        <v>43159</v>
      </c>
      <c r="F4" s="10">
        <f>IF(DAY(MarDom1)=1,MarDom1-3,MarDom1+4)</f>
        <v>43160</v>
      </c>
      <c r="G4" s="10">
        <f>IF(DAY(MarDom1)=1,MarDom1-2,MarDom1+5)</f>
        <v>43161</v>
      </c>
      <c r="H4" s="10">
        <f>IF(DAY(MarDom1)=1,MarDom1-1,MarDom1+6)</f>
        <v>43162</v>
      </c>
      <c r="I4" s="10">
        <f>IF(DAY(MarDom1)=1,MarDom1,MarDom1+7)</f>
        <v>43163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IF(DAY(MarDom1)=1,MarDom1+1,MarDom1+8)</f>
        <v>43164</v>
      </c>
      <c r="D5" s="10">
        <f>IF(DAY(MarDom1)=1,MarDom1+2,MarDom1+9)</f>
        <v>43165</v>
      </c>
      <c r="E5" s="10">
        <f>IF(DAY(MarDom1)=1,MarDom1+3,MarDom1+10)</f>
        <v>43166</v>
      </c>
      <c r="F5" s="10">
        <f>IF(DAY(MarDom1)=1,MarDom1+4,MarDom1+11)</f>
        <v>43167</v>
      </c>
      <c r="G5" s="10">
        <f>IF(DAY(MarDom1)=1,MarDom1+5,MarDom1+12)</f>
        <v>43168</v>
      </c>
      <c r="H5" s="10">
        <f>IF(DAY(MarDom1)=1,MarDom1+6,MarDom1+13)</f>
        <v>43169</v>
      </c>
      <c r="I5" s="10">
        <f>IF(DAY(MarDom1)=1,MarDom1+7,MarDom1+14)</f>
        <v>43170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IF(DAY(MarDom1)=1,MarDom1+8,MarDom1+15)</f>
        <v>43171</v>
      </c>
      <c r="D6" s="10">
        <f>IF(DAY(MarDom1)=1,MarDom1+9,MarDom1+16)</f>
        <v>43172</v>
      </c>
      <c r="E6" s="10">
        <f>IF(DAY(MarDom1)=1,MarDom1+10,MarDom1+17)</f>
        <v>43173</v>
      </c>
      <c r="F6" s="10">
        <f>IF(DAY(MarDom1)=1,MarDom1+11,MarDom1+18)</f>
        <v>43174</v>
      </c>
      <c r="G6" s="10">
        <f>IF(DAY(MarDom1)=1,MarDom1+12,MarDom1+19)</f>
        <v>43175</v>
      </c>
      <c r="H6" s="10">
        <f>IF(DAY(MarDom1)=1,MarDom1+13,MarDom1+20)</f>
        <v>43176</v>
      </c>
      <c r="I6" s="10">
        <f>IF(DAY(MarDom1)=1,MarDom1+14,MarDom1+21)</f>
        <v>43177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IF(DAY(MarDom1)=1,MarDom1+15,MarDom1+22)</f>
        <v>43178</v>
      </c>
      <c r="D7" s="10">
        <f>IF(DAY(MarDom1)=1,MarDom1+16,MarDom1+23)</f>
        <v>43179</v>
      </c>
      <c r="E7" s="10">
        <f>IF(DAY(MarDom1)=1,MarDom1+17,MarDom1+24)</f>
        <v>43180</v>
      </c>
      <c r="F7" s="10">
        <f>IF(DAY(MarDom1)=1,MarDom1+18,MarDom1+25)</f>
        <v>43181</v>
      </c>
      <c r="G7" s="10">
        <f>IF(DAY(MarDom1)=1,MarDom1+19,MarDom1+26)</f>
        <v>43182</v>
      </c>
      <c r="H7" s="10">
        <f>IF(DAY(MarDom1)=1,MarDom1+20,MarDom1+27)</f>
        <v>43183</v>
      </c>
      <c r="I7" s="10">
        <f>IF(DAY(MarDom1)=1,MarDom1+21,MarDom1+28)</f>
        <v>43184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IF(DAY(MarDom1)=1,MarDom1+22,MarDom1+29)</f>
        <v>43185</v>
      </c>
      <c r="D8" s="10">
        <f>IF(DAY(MarDom1)=1,MarDom1+23,MarDom1+30)</f>
        <v>43186</v>
      </c>
      <c r="E8" s="10">
        <f>IF(DAY(MarDom1)=1,MarDom1+24,MarDom1+31)</f>
        <v>43187</v>
      </c>
      <c r="F8" s="10">
        <f>IF(DAY(MarDom1)=1,MarDom1+25,MarDom1+32)</f>
        <v>43188</v>
      </c>
      <c r="G8" s="10">
        <f>IF(DAY(MarDom1)=1,MarDom1+26,MarDom1+33)</f>
        <v>43189</v>
      </c>
      <c r="H8" s="10">
        <f>IF(DAY(MarDom1)=1,MarDom1+27,MarDom1+34)</f>
        <v>43190</v>
      </c>
      <c r="I8" s="10">
        <f>IF(DAY(MarDom1)=1,MarDom1+28,MarDom1+35)</f>
        <v>43191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IF(DAY(MarDom1)=1,MarDom1+29,MarDom1+36)</f>
        <v>43192</v>
      </c>
      <c r="D9" s="10">
        <f>IF(DAY(MarDom1)=1,MarDom1+30,MarDom1+37)</f>
        <v>43193</v>
      </c>
      <c r="E9" s="10">
        <f>IF(DAY(MarDom1)=1,MarDom1+31,MarDom1+38)</f>
        <v>43194</v>
      </c>
      <c r="F9" s="10">
        <f>IF(DAY(MarDom1)=1,MarDom1+32,MarDom1+39)</f>
        <v>43195</v>
      </c>
      <c r="G9" s="10">
        <f>IF(DAY(MarDom1)=1,MarDom1+33,MarDom1+40)</f>
        <v>43196</v>
      </c>
      <c r="H9" s="10">
        <f>IF(DAY(MarDom1)=1,MarDom1+34,MarDom1+41)</f>
        <v>43197</v>
      </c>
      <c r="I9" s="10">
        <f>IF(DAY(MarDom1)=1,MarDom1+35,MarDom1+42)</f>
        <v>43198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7" priority="3" stopIfTrue="1">
      <formula>DAY(C4)&gt;8</formula>
    </cfRule>
  </conditionalFormatting>
  <conditionalFormatting sqref="C8:I10">
    <cfRule type="expression" dxfId="26" priority="2" stopIfTrue="1">
      <formula>AND(DAY(C8)&gt;=1,DAY(C8)&lt;=15)</formula>
    </cfRule>
  </conditionalFormatting>
  <conditionalFormatting sqref="C4:I9">
    <cfRule type="expression" dxfId="25" priority="4">
      <formula>VLOOKUP(DAY(C4),DíasDeTareas,1,FALSE)=DAY(C4)</formula>
    </cfRule>
  </conditionalFormatting>
  <conditionalFormatting sqref="B14:J33">
    <cfRule type="expression" dxfId="2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B14" sqref="B14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21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IF(DAY(AbrDom1)=1,AbrDom1-6,AbrDom1+1)</f>
        <v>43185</v>
      </c>
      <c r="D4" s="10">
        <f>IF(DAY(AbrDom1)=1,AbrDom1-5,AbrDom1+2)</f>
        <v>43186</v>
      </c>
      <c r="E4" s="10">
        <f>IF(DAY(AbrDom1)=1,AbrDom1-4,AbrDom1+3)</f>
        <v>43187</v>
      </c>
      <c r="F4" s="10">
        <f>IF(DAY(AbrDom1)=1,AbrDom1-3,AbrDom1+4)</f>
        <v>43188</v>
      </c>
      <c r="G4" s="10">
        <f>IF(DAY(AbrDom1)=1,AbrDom1-2,AbrDom1+5)</f>
        <v>43189</v>
      </c>
      <c r="H4" s="10">
        <f>IF(DAY(AbrDom1)=1,AbrDom1-1,AbrDom1+6)</f>
        <v>43190</v>
      </c>
      <c r="I4" s="10">
        <f>IF(DAY(AbrDom1)=1,AbrDom1,AbrDom1+7)</f>
        <v>43191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IF(DAY(AbrDom1)=1,AbrDom1+1,AbrDom1+8)</f>
        <v>43192</v>
      </c>
      <c r="D5" s="10">
        <f>IF(DAY(AbrDom1)=1,AbrDom1+2,AbrDom1+9)</f>
        <v>43193</v>
      </c>
      <c r="E5" s="10">
        <f>IF(DAY(AbrDom1)=1,AbrDom1+3,AbrDom1+10)</f>
        <v>43194</v>
      </c>
      <c r="F5" s="10">
        <f>IF(DAY(AbrDom1)=1,AbrDom1+4,AbrDom1+11)</f>
        <v>43195</v>
      </c>
      <c r="G5" s="10">
        <f>IF(DAY(AbrDom1)=1,AbrDom1+5,AbrDom1+12)</f>
        <v>43196</v>
      </c>
      <c r="H5" s="10">
        <f>IF(DAY(AbrDom1)=1,AbrDom1+6,AbrDom1+13)</f>
        <v>43197</v>
      </c>
      <c r="I5" s="10">
        <f>IF(DAY(AbrDom1)=1,AbrDom1+7,AbrDom1+14)</f>
        <v>43198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IF(DAY(AbrDom1)=1,AbrDom1+8,AbrDom1+15)</f>
        <v>43199</v>
      </c>
      <c r="D6" s="10">
        <f>IF(DAY(AbrDom1)=1,AbrDom1+9,AbrDom1+16)</f>
        <v>43200</v>
      </c>
      <c r="E6" s="10">
        <f>IF(DAY(AbrDom1)=1,AbrDom1+10,AbrDom1+17)</f>
        <v>43201</v>
      </c>
      <c r="F6" s="10">
        <f>IF(DAY(AbrDom1)=1,AbrDom1+11,AbrDom1+18)</f>
        <v>43202</v>
      </c>
      <c r="G6" s="10">
        <f>IF(DAY(AbrDom1)=1,AbrDom1+12,AbrDom1+19)</f>
        <v>43203</v>
      </c>
      <c r="H6" s="10">
        <f>IF(DAY(AbrDom1)=1,AbrDom1+13,AbrDom1+20)</f>
        <v>43204</v>
      </c>
      <c r="I6" s="10">
        <f>IF(DAY(AbrDom1)=1,AbrDom1+14,AbrDom1+21)</f>
        <v>43205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IF(DAY(AbrDom1)=1,AbrDom1+15,AbrDom1+22)</f>
        <v>43206</v>
      </c>
      <c r="D7" s="10">
        <f>IF(DAY(AbrDom1)=1,AbrDom1+16,AbrDom1+23)</f>
        <v>43207</v>
      </c>
      <c r="E7" s="10">
        <f>IF(DAY(AbrDom1)=1,AbrDom1+17,AbrDom1+24)</f>
        <v>43208</v>
      </c>
      <c r="F7" s="10">
        <f>IF(DAY(AbrDom1)=1,AbrDom1+18,AbrDom1+25)</f>
        <v>43209</v>
      </c>
      <c r="G7" s="10">
        <f>IF(DAY(AbrDom1)=1,AbrDom1+19,AbrDom1+26)</f>
        <v>43210</v>
      </c>
      <c r="H7" s="10">
        <f>IF(DAY(AbrDom1)=1,AbrDom1+20,AbrDom1+27)</f>
        <v>43211</v>
      </c>
      <c r="I7" s="10">
        <f>IF(DAY(AbrDom1)=1,AbrDom1+21,AbrDom1+28)</f>
        <v>43212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IF(DAY(AbrDom1)=1,AbrDom1+22,AbrDom1+29)</f>
        <v>43213</v>
      </c>
      <c r="D8" s="10">
        <f>IF(DAY(AbrDom1)=1,AbrDom1+23,AbrDom1+30)</f>
        <v>43214</v>
      </c>
      <c r="E8" s="10">
        <f>IF(DAY(AbrDom1)=1,AbrDom1+24,AbrDom1+31)</f>
        <v>43215</v>
      </c>
      <c r="F8" s="10">
        <f>IF(DAY(AbrDom1)=1,AbrDom1+25,AbrDom1+32)</f>
        <v>43216</v>
      </c>
      <c r="G8" s="10">
        <f>IF(DAY(AbrDom1)=1,AbrDom1+26,AbrDom1+33)</f>
        <v>43217</v>
      </c>
      <c r="H8" s="10">
        <f>IF(DAY(AbrDom1)=1,AbrDom1+27,AbrDom1+34)</f>
        <v>43218</v>
      </c>
      <c r="I8" s="10">
        <f>IF(DAY(AbrDom1)=1,AbrDom1+28,AbrDom1+35)</f>
        <v>43219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IF(DAY(AbrDom1)=1,AbrDom1+29,AbrDom1+36)</f>
        <v>43220</v>
      </c>
      <c r="D9" s="10">
        <f>IF(DAY(AbrDom1)=1,AbrDom1+30,AbrDom1+37)</f>
        <v>43221</v>
      </c>
      <c r="E9" s="10">
        <f>IF(DAY(AbrDom1)=1,AbrDom1+31,AbrDom1+38)</f>
        <v>43222</v>
      </c>
      <c r="F9" s="10">
        <f>IF(DAY(AbrDom1)=1,AbrDom1+32,AbrDom1+39)</f>
        <v>43223</v>
      </c>
      <c r="G9" s="10">
        <f>IF(DAY(AbrDom1)=1,AbrDom1+33,AbrDom1+40)</f>
        <v>43224</v>
      </c>
      <c r="H9" s="10">
        <f>IF(DAY(AbrDom1)=1,AbrDom1+34,AbrDom1+41)</f>
        <v>43225</v>
      </c>
      <c r="I9" s="10">
        <f>IF(DAY(AbrDom1)=1,AbrDom1+35,AbrDom1+42)</f>
        <v>43226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3" priority="3" stopIfTrue="1">
      <formula>DAY(C4)&gt;8</formula>
    </cfRule>
  </conditionalFormatting>
  <conditionalFormatting sqref="C8:I10">
    <cfRule type="expression" dxfId="22" priority="2" stopIfTrue="1">
      <formula>AND(DAY(C8)&gt;=1,DAY(C8)&lt;=15)</formula>
    </cfRule>
  </conditionalFormatting>
  <conditionalFormatting sqref="C4:I9">
    <cfRule type="expression" dxfId="21" priority="4">
      <formula>VLOOKUP(DAY(C4),DíasDeTareas,1,FALSE)=DAY(C4)</formula>
    </cfRule>
  </conditionalFormatting>
  <conditionalFormatting sqref="B14:J33">
    <cfRule type="expression" dxfId="2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B15" sqref="B15:J31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20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IF(DAY(MayDom1)=1,MayDom1-6,MayDom1+1)</f>
        <v>43220</v>
      </c>
      <c r="D4" s="10">
        <f>IF(DAY(MayDom1)=1,MayDom1-5,MayDom1+2)</f>
        <v>43221</v>
      </c>
      <c r="E4" s="10">
        <f>IF(DAY(MayDom1)=1,MayDom1-4,MayDom1+3)</f>
        <v>43222</v>
      </c>
      <c r="F4" s="10">
        <f>IF(DAY(MayDom1)=1,MayDom1-3,MayDom1+4)</f>
        <v>43223</v>
      </c>
      <c r="G4" s="10">
        <f>IF(DAY(MayDom1)=1,MayDom1-2,MayDom1+5)</f>
        <v>43224</v>
      </c>
      <c r="H4" s="10">
        <f>IF(DAY(MayDom1)=1,MayDom1-1,MayDom1+6)</f>
        <v>43225</v>
      </c>
      <c r="I4" s="10">
        <f>IF(DAY(MayDom1)=1,MayDom1,MayDom1+7)</f>
        <v>43226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IF(DAY(MayDom1)=1,MayDom1+1,MayDom1+8)</f>
        <v>43227</v>
      </c>
      <c r="D5" s="10">
        <f>IF(DAY(MayDom1)=1,MayDom1+2,MayDom1+9)</f>
        <v>43228</v>
      </c>
      <c r="E5" s="10">
        <f>IF(DAY(MayDom1)=1,MayDom1+3,MayDom1+10)</f>
        <v>43229</v>
      </c>
      <c r="F5" s="10">
        <f>IF(DAY(MayDom1)=1,MayDom1+4,MayDom1+11)</f>
        <v>43230</v>
      </c>
      <c r="G5" s="10">
        <f>IF(DAY(MayDom1)=1,MayDom1+5,MayDom1+12)</f>
        <v>43231</v>
      </c>
      <c r="H5" s="10">
        <f>IF(DAY(MayDom1)=1,MayDom1+6,MayDom1+13)</f>
        <v>43232</v>
      </c>
      <c r="I5" s="10">
        <f>IF(DAY(MayDom1)=1,MayDom1+7,MayDom1+14)</f>
        <v>43233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IF(DAY(MayDom1)=1,MayDom1+8,MayDom1+15)</f>
        <v>43234</v>
      </c>
      <c r="D6" s="10">
        <f>IF(DAY(MayDom1)=1,MayDom1+9,MayDom1+16)</f>
        <v>43235</v>
      </c>
      <c r="E6" s="10">
        <f>IF(DAY(MayDom1)=1,MayDom1+10,MayDom1+17)</f>
        <v>43236</v>
      </c>
      <c r="F6" s="10">
        <f>IF(DAY(MayDom1)=1,MayDom1+11,MayDom1+18)</f>
        <v>43237</v>
      </c>
      <c r="G6" s="10">
        <f>IF(DAY(MayDom1)=1,MayDom1+12,MayDom1+19)</f>
        <v>43238</v>
      </c>
      <c r="H6" s="10">
        <f>IF(DAY(MayDom1)=1,MayDom1+13,MayDom1+20)</f>
        <v>43239</v>
      </c>
      <c r="I6" s="10">
        <f>IF(DAY(MayDom1)=1,MayDom1+14,MayDom1+21)</f>
        <v>43240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IF(DAY(MayDom1)=1,MayDom1+15,MayDom1+22)</f>
        <v>43241</v>
      </c>
      <c r="D7" s="10">
        <f>IF(DAY(MayDom1)=1,MayDom1+16,MayDom1+23)</f>
        <v>43242</v>
      </c>
      <c r="E7" s="10">
        <f>IF(DAY(MayDom1)=1,MayDom1+17,MayDom1+24)</f>
        <v>43243</v>
      </c>
      <c r="F7" s="10">
        <f>IF(DAY(MayDom1)=1,MayDom1+18,MayDom1+25)</f>
        <v>43244</v>
      </c>
      <c r="G7" s="10">
        <f>IF(DAY(MayDom1)=1,MayDom1+19,MayDom1+26)</f>
        <v>43245</v>
      </c>
      <c r="H7" s="10">
        <f>IF(DAY(MayDom1)=1,MayDom1+20,MayDom1+27)</f>
        <v>43246</v>
      </c>
      <c r="I7" s="10">
        <f>IF(DAY(MayDom1)=1,MayDom1+21,MayDom1+28)</f>
        <v>43247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IF(DAY(MayDom1)=1,MayDom1+22,MayDom1+29)</f>
        <v>43248</v>
      </c>
      <c r="D8" s="10">
        <f>IF(DAY(MayDom1)=1,MayDom1+23,MayDom1+30)</f>
        <v>43249</v>
      </c>
      <c r="E8" s="10">
        <f>IF(DAY(MayDom1)=1,MayDom1+24,MayDom1+31)</f>
        <v>43250</v>
      </c>
      <c r="F8" s="10">
        <f>IF(DAY(MayDom1)=1,MayDom1+25,MayDom1+32)</f>
        <v>43251</v>
      </c>
      <c r="G8" s="10">
        <f>IF(DAY(MayDom1)=1,MayDom1+26,MayDom1+33)</f>
        <v>43252</v>
      </c>
      <c r="H8" s="10">
        <f>IF(DAY(MayDom1)=1,MayDom1+27,MayDom1+34)</f>
        <v>43253</v>
      </c>
      <c r="I8" s="10">
        <f>IF(DAY(MayDom1)=1,MayDom1+28,MayDom1+35)</f>
        <v>43254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IF(DAY(MayDom1)=1,MayDom1+29,MayDom1+36)</f>
        <v>43255</v>
      </c>
      <c r="D9" s="10">
        <f>IF(DAY(MayDom1)=1,MayDom1+30,MayDom1+37)</f>
        <v>43256</v>
      </c>
      <c r="E9" s="10">
        <f>IF(DAY(MayDom1)=1,MayDom1+31,MayDom1+38)</f>
        <v>43257</v>
      </c>
      <c r="F9" s="10">
        <f>IF(DAY(MayDom1)=1,MayDom1+32,MayDom1+39)</f>
        <v>43258</v>
      </c>
      <c r="G9" s="10">
        <f>IF(DAY(MayDom1)=1,MayDom1+33,MayDom1+40)</f>
        <v>43259</v>
      </c>
      <c r="H9" s="10">
        <f>IF(DAY(MayDom1)=1,MayDom1+34,MayDom1+41)</f>
        <v>43260</v>
      </c>
      <c r="I9" s="10">
        <f>IF(DAY(MayDom1)=1,MayDom1+35,MayDom1+42)</f>
        <v>43261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 t="s">
        <v>2</v>
      </c>
      <c r="C14" s="78"/>
      <c r="D14" s="79"/>
      <c r="E14" s="78" t="s">
        <v>2</v>
      </c>
      <c r="F14" s="79"/>
      <c r="G14" s="78"/>
      <c r="H14" s="79"/>
      <c r="I14" s="78" t="s">
        <v>2</v>
      </c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9" priority="3" stopIfTrue="1">
      <formula>DAY(C4)&gt;8</formula>
    </cfRule>
  </conditionalFormatting>
  <conditionalFormatting sqref="C8:I10">
    <cfRule type="expression" dxfId="18" priority="2" stopIfTrue="1">
      <formula>AND(DAY(C8)&gt;=1,DAY(C8)&lt;=15)</formula>
    </cfRule>
  </conditionalFormatting>
  <conditionalFormatting sqref="C4:I9">
    <cfRule type="expression" dxfId="17" priority="4">
      <formula>VLOOKUP(DAY(C4),DíasDeTareas,1,FALSE)=DAY(C4)</formula>
    </cfRule>
  </conditionalFormatting>
  <conditionalFormatting sqref="B14:J33">
    <cfRule type="expression" dxfId="1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M25" sqref="M24:N2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19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IF(DAY(JunDom1)=1,JunDom1-6,JunDom1+1)</f>
        <v>43248</v>
      </c>
      <c r="D4" s="10">
        <f>IF(DAY(JunDom1)=1,JunDom1-5,JunDom1+2)</f>
        <v>43249</v>
      </c>
      <c r="E4" s="10">
        <f>IF(DAY(JunDom1)=1,JunDom1-4,JunDom1+3)</f>
        <v>43250</v>
      </c>
      <c r="F4" s="10">
        <f>IF(DAY(JunDom1)=1,JunDom1-3,JunDom1+4)</f>
        <v>43251</v>
      </c>
      <c r="G4" s="10">
        <f>IF(DAY(JunDom1)=1,JunDom1-2,JunDom1+5)</f>
        <v>43252</v>
      </c>
      <c r="H4" s="10">
        <f>IF(DAY(JunDom1)=1,JunDom1-1,JunDom1+6)</f>
        <v>43253</v>
      </c>
      <c r="I4" s="10">
        <f>IF(DAY(JunDom1)=1,JunDom1,JunDom1+7)</f>
        <v>43254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IF(DAY(JunDom1)=1,JunDom1+1,JunDom1+8)</f>
        <v>43255</v>
      </c>
      <c r="D5" s="10">
        <f>IF(DAY(JunDom1)=1,JunDom1+2,JunDom1+9)</f>
        <v>43256</v>
      </c>
      <c r="E5" s="10">
        <f>IF(DAY(JunDom1)=1,JunDom1+3,JunDom1+10)</f>
        <v>43257</v>
      </c>
      <c r="F5" s="10">
        <f>IF(DAY(JunDom1)=1,JunDom1+4,JunDom1+11)</f>
        <v>43258</v>
      </c>
      <c r="G5" s="10">
        <f>IF(DAY(JunDom1)=1,JunDom1+5,JunDom1+12)</f>
        <v>43259</v>
      </c>
      <c r="H5" s="10">
        <f>IF(DAY(JunDom1)=1,JunDom1+6,JunDom1+13)</f>
        <v>43260</v>
      </c>
      <c r="I5" s="10">
        <f>IF(DAY(JunDom1)=1,JunDom1+7,JunDom1+14)</f>
        <v>43261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IF(DAY(JunDom1)=1,JunDom1+8,JunDom1+15)</f>
        <v>43262</v>
      </c>
      <c r="D6" s="10">
        <f>IF(DAY(JunDom1)=1,JunDom1+9,JunDom1+16)</f>
        <v>43263</v>
      </c>
      <c r="E6" s="10">
        <f>IF(DAY(JunDom1)=1,JunDom1+10,JunDom1+17)</f>
        <v>43264</v>
      </c>
      <c r="F6" s="10">
        <f>IF(DAY(JunDom1)=1,JunDom1+11,JunDom1+18)</f>
        <v>43265</v>
      </c>
      <c r="G6" s="10">
        <f>IF(DAY(JunDom1)=1,JunDom1+12,JunDom1+19)</f>
        <v>43266</v>
      </c>
      <c r="H6" s="10">
        <f>IF(DAY(JunDom1)=1,JunDom1+13,JunDom1+20)</f>
        <v>43267</v>
      </c>
      <c r="I6" s="10">
        <f>IF(DAY(JunDom1)=1,JunDom1+14,JunDom1+21)</f>
        <v>43268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IF(DAY(JunDom1)=1,JunDom1+15,JunDom1+22)</f>
        <v>43269</v>
      </c>
      <c r="D7" s="10">
        <f>IF(DAY(JunDom1)=1,JunDom1+16,JunDom1+23)</f>
        <v>43270</v>
      </c>
      <c r="E7" s="10">
        <f>IF(DAY(JunDom1)=1,JunDom1+17,JunDom1+24)</f>
        <v>43271</v>
      </c>
      <c r="F7" s="10">
        <f>IF(DAY(JunDom1)=1,JunDom1+18,JunDom1+25)</f>
        <v>43272</v>
      </c>
      <c r="G7" s="10">
        <f>IF(DAY(JunDom1)=1,JunDom1+19,JunDom1+26)</f>
        <v>43273</v>
      </c>
      <c r="H7" s="10">
        <f>IF(DAY(JunDom1)=1,JunDom1+20,JunDom1+27)</f>
        <v>43274</v>
      </c>
      <c r="I7" s="10">
        <f>IF(DAY(JunDom1)=1,JunDom1+21,JunDom1+28)</f>
        <v>43275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IF(DAY(JunDom1)=1,JunDom1+22,JunDom1+29)</f>
        <v>43276</v>
      </c>
      <c r="D8" s="10">
        <f>IF(DAY(JunDom1)=1,JunDom1+23,JunDom1+30)</f>
        <v>43277</v>
      </c>
      <c r="E8" s="10">
        <f>IF(DAY(JunDom1)=1,JunDom1+24,JunDom1+31)</f>
        <v>43278</v>
      </c>
      <c r="F8" s="10">
        <f>IF(DAY(JunDom1)=1,JunDom1+25,JunDom1+32)</f>
        <v>43279</v>
      </c>
      <c r="G8" s="10">
        <f>IF(DAY(JunDom1)=1,JunDom1+26,JunDom1+33)</f>
        <v>43280</v>
      </c>
      <c r="H8" s="10">
        <f>IF(DAY(JunDom1)=1,JunDom1+27,JunDom1+34)</f>
        <v>43281</v>
      </c>
      <c r="I8" s="10">
        <f>IF(DAY(JunDom1)=1,JunDom1+28,JunDom1+35)</f>
        <v>43282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IF(DAY(JunDom1)=1,JunDom1+29,JunDom1+36)</f>
        <v>43283</v>
      </c>
      <c r="D9" s="10">
        <f>IF(DAY(JunDom1)=1,JunDom1+30,JunDom1+37)</f>
        <v>43284</v>
      </c>
      <c r="E9" s="10">
        <f>IF(DAY(JunDom1)=1,JunDom1+31,JunDom1+38)</f>
        <v>43285</v>
      </c>
      <c r="F9" s="10">
        <f>IF(DAY(JunDom1)=1,JunDom1+32,JunDom1+39)</f>
        <v>43286</v>
      </c>
      <c r="G9" s="10">
        <f>IF(DAY(JunDom1)=1,JunDom1+33,JunDom1+40)</f>
        <v>43287</v>
      </c>
      <c r="H9" s="10">
        <f>IF(DAY(JunDom1)=1,JunDom1+34,JunDom1+41)</f>
        <v>43288</v>
      </c>
      <c r="I9" s="10">
        <f>IF(DAY(JunDom1)=1,JunDom1+35,JunDom1+42)</f>
        <v>43289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5" priority="3" stopIfTrue="1">
      <formula>DAY(C4)&gt;8</formula>
    </cfRule>
  </conditionalFormatting>
  <conditionalFormatting sqref="C8:I10">
    <cfRule type="expression" dxfId="14" priority="2" stopIfTrue="1">
      <formula>AND(DAY(C8)&gt;=1,DAY(C8)&lt;=15)</formula>
    </cfRule>
  </conditionalFormatting>
  <conditionalFormatting sqref="C4:I9">
    <cfRule type="expression" dxfId="13" priority="4">
      <formula>VLOOKUP(DAY(C4),DíasDeTareas,1,FALSE)=DAY(C4)</formula>
    </cfRule>
  </conditionalFormatting>
  <conditionalFormatting sqref="B14:J33">
    <cfRule type="expression" dxfId="1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B29" sqref="B29:J32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18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IF(DAY(JulDom1)=1,JulDom1-6,JulDom1+1)</f>
        <v>43276</v>
      </c>
      <c r="D4" s="10">
        <f>IF(DAY(JulDom1)=1,JulDom1-5,JulDom1+2)</f>
        <v>43277</v>
      </c>
      <c r="E4" s="10">
        <f>IF(DAY(JulDom1)=1,JulDom1-4,JulDom1+3)</f>
        <v>43278</v>
      </c>
      <c r="F4" s="10">
        <f>IF(DAY(JulDom1)=1,JulDom1-3,JulDom1+4)</f>
        <v>43279</v>
      </c>
      <c r="G4" s="10">
        <f>IF(DAY(JulDom1)=1,JulDom1-2,JulDom1+5)</f>
        <v>43280</v>
      </c>
      <c r="H4" s="10">
        <f>IF(DAY(JulDom1)=1,JulDom1-1,JulDom1+6)</f>
        <v>43281</v>
      </c>
      <c r="I4" s="10">
        <f>IF(DAY(JulDom1)=1,JulDom1,JulDom1+7)</f>
        <v>43282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IF(DAY(JulDom1)=1,JulDom1+1,JulDom1+8)</f>
        <v>43283</v>
      </c>
      <c r="D5" s="10">
        <f>IF(DAY(JulDom1)=1,JulDom1+2,JulDom1+9)</f>
        <v>43284</v>
      </c>
      <c r="E5" s="10">
        <f>IF(DAY(JulDom1)=1,JulDom1+3,JulDom1+10)</f>
        <v>43285</v>
      </c>
      <c r="F5" s="10">
        <f>IF(DAY(JulDom1)=1,JulDom1+4,JulDom1+11)</f>
        <v>43286</v>
      </c>
      <c r="G5" s="10">
        <f>IF(DAY(JulDom1)=1,JulDom1+5,JulDom1+12)</f>
        <v>43287</v>
      </c>
      <c r="H5" s="10">
        <f>IF(DAY(JulDom1)=1,JulDom1+6,JulDom1+13)</f>
        <v>43288</v>
      </c>
      <c r="I5" s="10">
        <f>IF(DAY(JulDom1)=1,JulDom1+7,JulDom1+14)</f>
        <v>43289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IF(DAY(JulDom1)=1,JulDom1+8,JulDom1+15)</f>
        <v>43290</v>
      </c>
      <c r="D6" s="10">
        <f>IF(DAY(JulDom1)=1,JulDom1+9,JulDom1+16)</f>
        <v>43291</v>
      </c>
      <c r="E6" s="10">
        <f>IF(DAY(JulDom1)=1,JulDom1+10,JulDom1+17)</f>
        <v>43292</v>
      </c>
      <c r="F6" s="10">
        <f>IF(DAY(JulDom1)=1,JulDom1+11,JulDom1+18)</f>
        <v>43293</v>
      </c>
      <c r="G6" s="10">
        <f>IF(DAY(JulDom1)=1,JulDom1+12,JulDom1+19)</f>
        <v>43294</v>
      </c>
      <c r="H6" s="10">
        <f>IF(DAY(JulDom1)=1,JulDom1+13,JulDom1+20)</f>
        <v>43295</v>
      </c>
      <c r="I6" s="10">
        <f>IF(DAY(JulDom1)=1,JulDom1+14,JulDom1+21)</f>
        <v>43296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IF(DAY(JulDom1)=1,JulDom1+15,JulDom1+22)</f>
        <v>43297</v>
      </c>
      <c r="D7" s="10">
        <f>IF(DAY(JulDom1)=1,JulDom1+16,JulDom1+23)</f>
        <v>43298</v>
      </c>
      <c r="E7" s="10">
        <f>IF(DAY(JulDom1)=1,JulDom1+17,JulDom1+24)</f>
        <v>43299</v>
      </c>
      <c r="F7" s="10">
        <f>IF(DAY(JulDom1)=1,JulDom1+18,JulDom1+25)</f>
        <v>43300</v>
      </c>
      <c r="G7" s="10">
        <f>IF(DAY(JulDom1)=1,JulDom1+19,JulDom1+26)</f>
        <v>43301</v>
      </c>
      <c r="H7" s="10">
        <f>IF(DAY(JulDom1)=1,JulDom1+20,JulDom1+27)</f>
        <v>43302</v>
      </c>
      <c r="I7" s="10">
        <f>IF(DAY(JulDom1)=1,JulDom1+21,JulDom1+28)</f>
        <v>43303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IF(DAY(JulDom1)=1,JulDom1+22,JulDom1+29)</f>
        <v>43304</v>
      </c>
      <c r="D8" s="10">
        <f>IF(DAY(JulDom1)=1,JulDom1+23,JulDom1+30)</f>
        <v>43305</v>
      </c>
      <c r="E8" s="10">
        <f>IF(DAY(JulDom1)=1,JulDom1+24,JulDom1+31)</f>
        <v>43306</v>
      </c>
      <c r="F8" s="10">
        <f>IF(DAY(JulDom1)=1,JulDom1+25,JulDom1+32)</f>
        <v>43307</v>
      </c>
      <c r="G8" s="10">
        <f>IF(DAY(JulDom1)=1,JulDom1+26,JulDom1+33)</f>
        <v>43308</v>
      </c>
      <c r="H8" s="10">
        <f>IF(DAY(JulDom1)=1,JulDom1+27,JulDom1+34)</f>
        <v>43309</v>
      </c>
      <c r="I8" s="10">
        <f>IF(DAY(JulDom1)=1,JulDom1+28,JulDom1+35)</f>
        <v>43310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IF(DAY(JulDom1)=1,JulDom1+29,JulDom1+36)</f>
        <v>43311</v>
      </c>
      <c r="D9" s="10">
        <f>IF(DAY(JulDom1)=1,JulDom1+30,JulDom1+37)</f>
        <v>43312</v>
      </c>
      <c r="E9" s="10">
        <f>IF(DAY(JulDom1)=1,JulDom1+31,JulDom1+38)</f>
        <v>43313</v>
      </c>
      <c r="F9" s="10">
        <f>IF(DAY(JulDom1)=1,JulDom1+32,JulDom1+39)</f>
        <v>43314</v>
      </c>
      <c r="G9" s="10">
        <f>IF(DAY(JulDom1)=1,JulDom1+33,JulDom1+40)</f>
        <v>43315</v>
      </c>
      <c r="H9" s="10">
        <f>IF(DAY(JulDom1)=1,JulDom1+34,JulDom1+41)</f>
        <v>43316</v>
      </c>
      <c r="I9" s="10">
        <f>IF(DAY(JulDom1)=1,JulDom1+35,JulDom1+42)</f>
        <v>43317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1" priority="3" stopIfTrue="1">
      <formula>DAY(C4)&gt;8</formula>
    </cfRule>
  </conditionalFormatting>
  <conditionalFormatting sqref="C8:I10">
    <cfRule type="expression" dxfId="10" priority="2" stopIfTrue="1">
      <formula>AND(DAY(C8)&gt;=1,DAY(C8)&lt;=15)</formula>
    </cfRule>
  </conditionalFormatting>
  <conditionalFormatting sqref="C4:I9">
    <cfRule type="expression" dxfId="9" priority="4">
      <formula>VLOOKUP(DAY(C4),DíasDeTareas,1,FALSE)=DAY(C4)</formula>
    </cfRule>
  </conditionalFormatting>
  <conditionalFormatting sqref="B14:J33">
    <cfRule type="expression" dxfId="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B14" sqref="B14:J33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>
      <c r="A1" s="2"/>
      <c r="B1" s="2"/>
      <c r="C1" s="2"/>
      <c r="D1" s="2"/>
      <c r="E1" s="2"/>
      <c r="F1" s="2"/>
      <c r="G1" s="2"/>
    </row>
    <row r="2" spans="1:14" ht="18" customHeight="1">
      <c r="A2" s="4"/>
      <c r="B2" s="64" t="s">
        <v>17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IF(DAY(AgoDom1)=1,AgoDom1-6,AgoDom1+1)</f>
        <v>43311</v>
      </c>
      <c r="D4" s="10">
        <f>IF(DAY(AgoDom1)=1,AgoDom1-5,AgoDom1+2)</f>
        <v>43312</v>
      </c>
      <c r="E4" s="10">
        <f>IF(DAY(AgoDom1)=1,AgoDom1-4,AgoDom1+3)</f>
        <v>43313</v>
      </c>
      <c r="F4" s="10">
        <f>IF(DAY(AgoDom1)=1,AgoDom1-3,AgoDom1+4)</f>
        <v>43314</v>
      </c>
      <c r="G4" s="10">
        <f>IF(DAY(AgoDom1)=1,AgoDom1-2,AgoDom1+5)</f>
        <v>43315</v>
      </c>
      <c r="H4" s="10">
        <f>IF(DAY(AgoDom1)=1,AgoDom1-1,AgoDom1+6)</f>
        <v>43316</v>
      </c>
      <c r="I4" s="10">
        <f>IF(DAY(AgoDom1)=1,AgoDom1,AgoDom1+7)</f>
        <v>43317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IF(DAY(AgoDom1)=1,AgoDom1+1,AgoDom1+8)</f>
        <v>43318</v>
      </c>
      <c r="D5" s="10">
        <f>IF(DAY(AgoDom1)=1,AgoDom1+2,AgoDom1+9)</f>
        <v>43319</v>
      </c>
      <c r="E5" s="10">
        <f>IF(DAY(AgoDom1)=1,AgoDom1+3,AgoDom1+10)</f>
        <v>43320</v>
      </c>
      <c r="F5" s="10">
        <f>IF(DAY(AgoDom1)=1,AgoDom1+4,AgoDom1+11)</f>
        <v>43321</v>
      </c>
      <c r="G5" s="10">
        <f>IF(DAY(AgoDom1)=1,AgoDom1+5,AgoDom1+12)</f>
        <v>43322</v>
      </c>
      <c r="H5" s="10">
        <f>IF(DAY(AgoDom1)=1,AgoDom1+6,AgoDom1+13)</f>
        <v>43323</v>
      </c>
      <c r="I5" s="10">
        <f>IF(DAY(AgoDom1)=1,AgoDom1+7,AgoDom1+14)</f>
        <v>43324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IF(DAY(AgoDom1)=1,AgoDom1+8,AgoDom1+15)</f>
        <v>43325</v>
      </c>
      <c r="D6" s="10">
        <f>IF(DAY(AgoDom1)=1,AgoDom1+9,AgoDom1+16)</f>
        <v>43326</v>
      </c>
      <c r="E6" s="10">
        <f>IF(DAY(AgoDom1)=1,AgoDom1+10,AgoDom1+17)</f>
        <v>43327</v>
      </c>
      <c r="F6" s="10">
        <f>IF(DAY(AgoDom1)=1,AgoDom1+11,AgoDom1+18)</f>
        <v>43328</v>
      </c>
      <c r="G6" s="10">
        <f>IF(DAY(AgoDom1)=1,AgoDom1+12,AgoDom1+19)</f>
        <v>43329</v>
      </c>
      <c r="H6" s="10">
        <f>IF(DAY(AgoDom1)=1,AgoDom1+13,AgoDom1+20)</f>
        <v>43330</v>
      </c>
      <c r="I6" s="10">
        <f>IF(DAY(AgoDom1)=1,AgoDom1+14,AgoDom1+21)</f>
        <v>43331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IF(DAY(AgoDom1)=1,AgoDom1+15,AgoDom1+22)</f>
        <v>43332</v>
      </c>
      <c r="D7" s="10">
        <f>IF(DAY(AgoDom1)=1,AgoDom1+16,AgoDom1+23)</f>
        <v>43333</v>
      </c>
      <c r="E7" s="10">
        <f>IF(DAY(AgoDom1)=1,AgoDom1+17,AgoDom1+24)</f>
        <v>43334</v>
      </c>
      <c r="F7" s="10">
        <f>IF(DAY(AgoDom1)=1,AgoDom1+18,AgoDom1+25)</f>
        <v>43335</v>
      </c>
      <c r="G7" s="10">
        <f>IF(DAY(AgoDom1)=1,AgoDom1+19,AgoDom1+26)</f>
        <v>43336</v>
      </c>
      <c r="H7" s="10">
        <f>IF(DAY(AgoDom1)=1,AgoDom1+20,AgoDom1+27)</f>
        <v>43337</v>
      </c>
      <c r="I7" s="10">
        <f>IF(DAY(AgoDom1)=1,AgoDom1+21,AgoDom1+28)</f>
        <v>43338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IF(DAY(AgoDom1)=1,AgoDom1+22,AgoDom1+29)</f>
        <v>43339</v>
      </c>
      <c r="D8" s="10">
        <f>IF(DAY(AgoDom1)=1,AgoDom1+23,AgoDom1+30)</f>
        <v>43340</v>
      </c>
      <c r="E8" s="10">
        <f>IF(DAY(AgoDom1)=1,AgoDom1+24,AgoDom1+31)</f>
        <v>43341</v>
      </c>
      <c r="F8" s="10">
        <f>IF(DAY(AgoDom1)=1,AgoDom1+25,AgoDom1+32)</f>
        <v>43342</v>
      </c>
      <c r="G8" s="10">
        <f>IF(DAY(AgoDom1)=1,AgoDom1+26,AgoDom1+33)</f>
        <v>43343</v>
      </c>
      <c r="H8" s="10">
        <f>IF(DAY(AgoDom1)=1,AgoDom1+27,AgoDom1+34)</f>
        <v>43344</v>
      </c>
      <c r="I8" s="10">
        <f>IF(DAY(AgoDom1)=1,AgoDom1+28,AgoDom1+35)</f>
        <v>43345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IF(DAY(AgoDom1)=1,AgoDom1+29,AgoDom1+36)</f>
        <v>43346</v>
      </c>
      <c r="D9" s="10">
        <f>IF(DAY(AgoDom1)=1,AgoDom1+30,AgoDom1+37)</f>
        <v>43347</v>
      </c>
      <c r="E9" s="10">
        <f>IF(DAY(AgoDom1)=1,AgoDom1+31,AgoDom1+38)</f>
        <v>43348</v>
      </c>
      <c r="F9" s="10">
        <f>IF(DAY(AgoDom1)=1,AgoDom1+32,AgoDom1+39)</f>
        <v>43349</v>
      </c>
      <c r="G9" s="10">
        <f>IF(DAY(AgoDom1)=1,AgoDom1+33,AgoDom1+40)</f>
        <v>43350</v>
      </c>
      <c r="H9" s="10">
        <f>IF(DAY(AgoDom1)=1,AgoDom1+34,AgoDom1+41)</f>
        <v>43351</v>
      </c>
      <c r="I9" s="10">
        <f>IF(DAY(AgoDom1)=1,AgoDom1+35,AgoDom1+42)</f>
        <v>43352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7" priority="3" stopIfTrue="1">
      <formula>DAY(C4)&gt;8</formula>
    </cfRule>
  </conditionalFormatting>
  <conditionalFormatting sqref="C8:I10">
    <cfRule type="expression" dxfId="6" priority="2" stopIfTrue="1">
      <formula>AND(DAY(C8)&gt;=1,DAY(C8)&lt;=15)</formula>
    </cfRule>
  </conditionalFormatting>
  <conditionalFormatting sqref="C4:I9">
    <cfRule type="expression" dxfId="5" priority="4">
      <formula>VLOOKUP(DAY(C4),DíasDeTareas,1,FALSE)=DAY(C4)</formula>
    </cfRule>
  </conditionalFormatting>
  <conditionalFormatting sqref="B14:J33">
    <cfRule type="expression" dxfId="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L35" sqref="L35"/>
    </sheetView>
  </sheetViews>
  <sheetFormatPr baseColWidth="10" defaultColWidth="8.7109375" defaultRowHeight="16.5" customHeight="1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/>
    <row r="2" spans="1:14" ht="18" customHeight="1">
      <c r="A2" s="4"/>
      <c r="B2" s="64" t="s">
        <v>16</v>
      </c>
      <c r="C2" s="21"/>
      <c r="D2" s="21"/>
      <c r="E2" s="21"/>
      <c r="F2" s="21"/>
      <c r="G2" s="21"/>
      <c r="H2" s="21"/>
      <c r="I2" s="21"/>
      <c r="J2" s="22"/>
      <c r="K2" s="104" t="s">
        <v>3</v>
      </c>
      <c r="L2" s="105">
        <v>2013</v>
      </c>
      <c r="M2" s="105"/>
      <c r="N2" s="25"/>
    </row>
    <row r="3" spans="1:14" ht="21" customHeight="1">
      <c r="A3" s="4"/>
      <c r="B3" s="65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6"/>
      <c r="L3" s="107"/>
      <c r="M3" s="107"/>
      <c r="N3" s="26"/>
    </row>
    <row r="4" spans="1:14" ht="18" customHeight="1">
      <c r="A4" s="4"/>
      <c r="B4" s="65"/>
      <c r="C4" s="10">
        <f>IF(DAY(SepDom1)=1,SepDom1-6,SepDom1+1)</f>
        <v>43339</v>
      </c>
      <c r="D4" s="10">
        <f>IF(DAY(SepDom1)=1,SepDom1-5,SepDom1+2)</f>
        <v>43340</v>
      </c>
      <c r="E4" s="10">
        <f>IF(DAY(SepDom1)=1,SepDom1-4,SepDom1+3)</f>
        <v>43341</v>
      </c>
      <c r="F4" s="10">
        <f>IF(DAY(SepDom1)=1,SepDom1-3,SepDom1+4)</f>
        <v>43342</v>
      </c>
      <c r="G4" s="10">
        <f>IF(DAY(SepDom1)=1,SepDom1-2,SepDom1+5)</f>
        <v>43343</v>
      </c>
      <c r="H4" s="10">
        <f>IF(DAY(SepDom1)=1,SepDom1-1,SepDom1+6)</f>
        <v>43344</v>
      </c>
      <c r="I4" s="10">
        <f>IF(DAY(SepDom1)=1,SepDom1,SepDom1+7)</f>
        <v>43345</v>
      </c>
      <c r="J4" s="5"/>
      <c r="K4" s="108" t="s">
        <v>11</v>
      </c>
      <c r="L4" s="16"/>
      <c r="M4" s="109"/>
      <c r="N4" s="110"/>
    </row>
    <row r="5" spans="1:14" ht="18" customHeight="1">
      <c r="A5" s="4"/>
      <c r="B5" s="65"/>
      <c r="C5" s="10">
        <f>IF(DAY(SepDom1)=1,SepDom1+1,SepDom1+8)</f>
        <v>43346</v>
      </c>
      <c r="D5" s="10">
        <f>IF(DAY(SepDom1)=1,SepDom1+2,SepDom1+9)</f>
        <v>43347</v>
      </c>
      <c r="E5" s="10">
        <f>IF(DAY(SepDom1)=1,SepDom1+3,SepDom1+10)</f>
        <v>43348</v>
      </c>
      <c r="F5" s="10">
        <f>IF(DAY(SepDom1)=1,SepDom1+4,SepDom1+11)</f>
        <v>43349</v>
      </c>
      <c r="G5" s="10">
        <f>IF(DAY(SepDom1)=1,SepDom1+5,SepDom1+12)</f>
        <v>43350</v>
      </c>
      <c r="H5" s="10">
        <f>IF(DAY(SepDom1)=1,SepDom1+6,SepDom1+13)</f>
        <v>43351</v>
      </c>
      <c r="I5" s="10">
        <f>IF(DAY(SepDom1)=1,SepDom1+7,SepDom1+14)</f>
        <v>43352</v>
      </c>
      <c r="J5" s="5"/>
      <c r="K5" s="100"/>
      <c r="L5" s="17"/>
      <c r="M5" s="70"/>
      <c r="N5" s="71"/>
    </row>
    <row r="6" spans="1:14" ht="18" customHeight="1">
      <c r="A6" s="4"/>
      <c r="B6" s="65"/>
      <c r="C6" s="10">
        <f>IF(DAY(SepDom1)=1,SepDom1+8,SepDom1+15)</f>
        <v>43353</v>
      </c>
      <c r="D6" s="10">
        <f>IF(DAY(SepDom1)=1,SepDom1+9,SepDom1+16)</f>
        <v>43354</v>
      </c>
      <c r="E6" s="10">
        <f>IF(DAY(SepDom1)=1,SepDom1+10,SepDom1+17)</f>
        <v>43355</v>
      </c>
      <c r="F6" s="10">
        <f>IF(DAY(SepDom1)=1,SepDom1+11,SepDom1+18)</f>
        <v>43356</v>
      </c>
      <c r="G6" s="10">
        <f>IF(DAY(SepDom1)=1,SepDom1+12,SepDom1+19)</f>
        <v>43357</v>
      </c>
      <c r="H6" s="10">
        <f>IF(DAY(SepDom1)=1,SepDom1+13,SepDom1+20)</f>
        <v>43358</v>
      </c>
      <c r="I6" s="10">
        <f>IF(DAY(SepDom1)=1,SepDom1+14,SepDom1+21)</f>
        <v>43359</v>
      </c>
      <c r="J6" s="5"/>
      <c r="K6" s="100"/>
      <c r="L6" s="17"/>
      <c r="M6" s="70"/>
      <c r="N6" s="71"/>
    </row>
    <row r="7" spans="1:14" ht="18" customHeight="1">
      <c r="A7" s="4"/>
      <c r="B7" s="65"/>
      <c r="C7" s="10">
        <f>IF(DAY(SepDom1)=1,SepDom1+15,SepDom1+22)</f>
        <v>43360</v>
      </c>
      <c r="D7" s="10">
        <f>IF(DAY(SepDom1)=1,SepDom1+16,SepDom1+23)</f>
        <v>43361</v>
      </c>
      <c r="E7" s="10">
        <f>IF(DAY(SepDom1)=1,SepDom1+17,SepDom1+24)</f>
        <v>43362</v>
      </c>
      <c r="F7" s="10">
        <f>IF(DAY(SepDom1)=1,SepDom1+18,SepDom1+25)</f>
        <v>43363</v>
      </c>
      <c r="G7" s="10">
        <f>IF(DAY(SepDom1)=1,SepDom1+19,SepDom1+26)</f>
        <v>43364</v>
      </c>
      <c r="H7" s="10">
        <f>IF(DAY(SepDom1)=1,SepDom1+20,SepDom1+27)</f>
        <v>43365</v>
      </c>
      <c r="I7" s="10">
        <f>IF(DAY(SepDom1)=1,SepDom1+21,SepDom1+28)</f>
        <v>43366</v>
      </c>
      <c r="J7" s="5"/>
      <c r="K7" s="11"/>
      <c r="L7" s="17"/>
      <c r="M7" s="70"/>
      <c r="N7" s="71"/>
    </row>
    <row r="8" spans="1:14" ht="18.75" customHeight="1">
      <c r="A8" s="4"/>
      <c r="B8" s="65"/>
      <c r="C8" s="10">
        <f>IF(DAY(SepDom1)=1,SepDom1+22,SepDom1+29)</f>
        <v>43367</v>
      </c>
      <c r="D8" s="10">
        <f>IF(DAY(SepDom1)=1,SepDom1+23,SepDom1+30)</f>
        <v>43368</v>
      </c>
      <c r="E8" s="10">
        <f>IF(DAY(SepDom1)=1,SepDom1+24,SepDom1+31)</f>
        <v>43369</v>
      </c>
      <c r="F8" s="10">
        <f>IF(DAY(SepDom1)=1,SepDom1+25,SepDom1+32)</f>
        <v>43370</v>
      </c>
      <c r="G8" s="10">
        <f>IF(DAY(SepDom1)=1,SepDom1+26,SepDom1+33)</f>
        <v>43371</v>
      </c>
      <c r="H8" s="10">
        <f>IF(DAY(SepDom1)=1,SepDom1+27,SepDom1+34)</f>
        <v>43372</v>
      </c>
      <c r="I8" s="10">
        <f>IF(DAY(SepDom1)=1,SepDom1+28,SepDom1+35)</f>
        <v>43373</v>
      </c>
      <c r="J8" s="5"/>
      <c r="K8" s="11"/>
      <c r="L8" s="17"/>
      <c r="M8" s="70"/>
      <c r="N8" s="71"/>
    </row>
    <row r="9" spans="1:14" ht="18" customHeight="1">
      <c r="A9" s="4"/>
      <c r="B9" s="65"/>
      <c r="C9" s="10">
        <f>IF(DAY(SepDom1)=1,SepDom1+29,SepDom1+36)</f>
        <v>43374</v>
      </c>
      <c r="D9" s="10">
        <f>IF(DAY(SepDom1)=1,SepDom1+30,SepDom1+37)</f>
        <v>43375</v>
      </c>
      <c r="E9" s="10">
        <f>IF(DAY(SepDom1)=1,SepDom1+31,SepDom1+38)</f>
        <v>43376</v>
      </c>
      <c r="F9" s="10">
        <f>IF(DAY(SepDom1)=1,SepDom1+32,SepDom1+39)</f>
        <v>43377</v>
      </c>
      <c r="G9" s="10">
        <f>IF(DAY(SepDom1)=1,SepDom1+33,SepDom1+40)</f>
        <v>43378</v>
      </c>
      <c r="H9" s="10">
        <f>IF(DAY(SepDom1)=1,SepDom1+34,SepDom1+41)</f>
        <v>43379</v>
      </c>
      <c r="I9" s="10">
        <f>IF(DAY(SepDom1)=1,SepDom1+35,SepDom1+42)</f>
        <v>43380</v>
      </c>
      <c r="J9" s="5"/>
      <c r="K9" s="12"/>
      <c r="L9" s="18"/>
      <c r="M9" s="74"/>
      <c r="N9" s="75"/>
    </row>
    <row r="10" spans="1:14" ht="18" customHeight="1">
      <c r="A10" s="4"/>
      <c r="B10" s="66"/>
      <c r="C10" s="23"/>
      <c r="D10" s="23"/>
      <c r="E10" s="23"/>
      <c r="F10" s="23"/>
      <c r="G10" s="23"/>
      <c r="H10" s="23"/>
      <c r="I10" s="23"/>
      <c r="J10" s="24"/>
      <c r="K10" s="99" t="s">
        <v>12</v>
      </c>
      <c r="L10" s="16"/>
      <c r="M10" s="76"/>
      <c r="N10" s="77"/>
    </row>
    <row r="11" spans="1:14" ht="18" customHeight="1">
      <c r="A11" s="4"/>
      <c r="B11" s="67" t="s">
        <v>10</v>
      </c>
      <c r="C11" s="68"/>
      <c r="D11" s="68"/>
      <c r="E11" s="68"/>
      <c r="F11" s="68"/>
      <c r="G11" s="68"/>
      <c r="H11" s="68"/>
      <c r="I11" s="68"/>
      <c r="J11" s="69"/>
      <c r="K11" s="100"/>
      <c r="L11" s="17"/>
      <c r="M11" s="70"/>
      <c r="N11" s="71"/>
    </row>
    <row r="12" spans="1:14" ht="18" customHeight="1">
      <c r="A12" s="4"/>
      <c r="B12" s="67"/>
      <c r="C12" s="68"/>
      <c r="D12" s="68"/>
      <c r="E12" s="68"/>
      <c r="F12" s="68"/>
      <c r="G12" s="68"/>
      <c r="H12" s="68"/>
      <c r="I12" s="68"/>
      <c r="J12" s="69"/>
      <c r="K12" s="100"/>
      <c r="L12" s="17"/>
      <c r="M12" s="70"/>
      <c r="N12" s="71"/>
    </row>
    <row r="13" spans="1:14" ht="18" customHeight="1">
      <c r="B13" s="3" t="s">
        <v>11</v>
      </c>
      <c r="C13" s="101" t="s">
        <v>12</v>
      </c>
      <c r="D13" s="103"/>
      <c r="E13" s="101" t="s">
        <v>13</v>
      </c>
      <c r="F13" s="103"/>
      <c r="G13" s="101" t="s">
        <v>14</v>
      </c>
      <c r="H13" s="103"/>
      <c r="I13" s="101" t="s">
        <v>15</v>
      </c>
      <c r="J13" s="102"/>
      <c r="K13" s="11"/>
      <c r="L13" s="17"/>
      <c r="M13" s="70"/>
      <c r="N13" s="71"/>
    </row>
    <row r="14" spans="1:14" ht="18" customHeight="1">
      <c r="B14" s="8"/>
      <c r="C14" s="78"/>
      <c r="D14" s="79"/>
      <c r="E14" s="78"/>
      <c r="F14" s="79"/>
      <c r="G14" s="78"/>
      <c r="H14" s="79"/>
      <c r="I14" s="78"/>
      <c r="J14" s="93"/>
      <c r="K14" s="11"/>
      <c r="L14" s="17"/>
      <c r="M14" s="70"/>
      <c r="N14" s="71"/>
    </row>
    <row r="15" spans="1:14" ht="18" customHeight="1">
      <c r="B15" s="6"/>
      <c r="C15" s="80"/>
      <c r="D15" s="81"/>
      <c r="E15" s="80"/>
      <c r="F15" s="81"/>
      <c r="G15" s="80"/>
      <c r="H15" s="81"/>
      <c r="I15" s="91"/>
      <c r="J15" s="92"/>
      <c r="K15" s="13"/>
      <c r="L15" s="19"/>
      <c r="M15" s="74"/>
      <c r="N15" s="75"/>
    </row>
    <row r="16" spans="1:14" ht="18" customHeight="1">
      <c r="B16" s="8"/>
      <c r="C16" s="78"/>
      <c r="D16" s="79"/>
      <c r="E16" s="78"/>
      <c r="F16" s="79"/>
      <c r="G16" s="78"/>
      <c r="H16" s="79"/>
      <c r="I16" s="87"/>
      <c r="J16" s="88"/>
      <c r="K16" s="113" t="s">
        <v>13</v>
      </c>
      <c r="L16" s="16"/>
      <c r="M16" s="76"/>
      <c r="N16" s="77"/>
    </row>
    <row r="17" spans="2:14" ht="18" customHeight="1">
      <c r="B17" s="6"/>
      <c r="C17" s="80"/>
      <c r="D17" s="81"/>
      <c r="E17" s="80"/>
      <c r="F17" s="81"/>
      <c r="G17" s="80"/>
      <c r="H17" s="81"/>
      <c r="I17" s="91"/>
      <c r="J17" s="92"/>
      <c r="K17" s="114"/>
      <c r="L17" s="17"/>
      <c r="M17" s="70"/>
      <c r="N17" s="71"/>
    </row>
    <row r="18" spans="2:14" ht="18" customHeight="1">
      <c r="B18" s="9"/>
      <c r="C18" s="96"/>
      <c r="D18" s="97"/>
      <c r="E18" s="96"/>
      <c r="F18" s="97"/>
      <c r="G18" s="96"/>
      <c r="H18" s="97"/>
      <c r="I18" s="96"/>
      <c r="J18" s="98"/>
      <c r="K18" s="114"/>
      <c r="L18" s="17"/>
      <c r="M18" s="70"/>
      <c r="N18" s="71"/>
    </row>
    <row r="19" spans="2:14" ht="18" customHeight="1">
      <c r="B19" s="6"/>
      <c r="C19" s="80"/>
      <c r="D19" s="81"/>
      <c r="E19" s="80"/>
      <c r="F19" s="81"/>
      <c r="G19" s="80"/>
      <c r="H19" s="81"/>
      <c r="I19" s="91"/>
      <c r="J19" s="92"/>
      <c r="K19" s="11"/>
      <c r="L19" s="17"/>
      <c r="M19" s="70"/>
      <c r="N19" s="71"/>
    </row>
    <row r="20" spans="2:14" ht="18" customHeight="1">
      <c r="B20" s="8"/>
      <c r="C20" s="78"/>
      <c r="D20" s="79"/>
      <c r="E20" s="78"/>
      <c r="F20" s="79"/>
      <c r="G20" s="78"/>
      <c r="H20" s="79"/>
      <c r="I20" s="78"/>
      <c r="J20" s="93"/>
      <c r="K20" s="11"/>
      <c r="L20" s="17"/>
      <c r="M20" s="70"/>
      <c r="N20" s="71"/>
    </row>
    <row r="21" spans="2:14" ht="18" customHeight="1">
      <c r="B21" s="6"/>
      <c r="C21" s="80"/>
      <c r="D21" s="81"/>
      <c r="E21" s="80"/>
      <c r="F21" s="81"/>
      <c r="G21" s="80"/>
      <c r="H21" s="81"/>
      <c r="I21" s="94"/>
      <c r="J21" s="95"/>
      <c r="K21" s="13"/>
      <c r="L21" s="19"/>
      <c r="M21" s="74"/>
      <c r="N21" s="75"/>
    </row>
    <row r="22" spans="2:14" ht="18" customHeight="1">
      <c r="B22" s="8"/>
      <c r="C22" s="78"/>
      <c r="D22" s="79"/>
      <c r="E22" s="78"/>
      <c r="F22" s="79"/>
      <c r="G22" s="78"/>
      <c r="H22" s="79"/>
      <c r="I22" s="78"/>
      <c r="J22" s="93"/>
      <c r="K22" s="113" t="s">
        <v>14</v>
      </c>
      <c r="L22" s="16"/>
      <c r="M22" s="76"/>
      <c r="N22" s="77"/>
    </row>
    <row r="23" spans="2:14" ht="18" customHeight="1">
      <c r="B23" s="6"/>
      <c r="C23" s="80"/>
      <c r="D23" s="81"/>
      <c r="E23" s="80"/>
      <c r="F23" s="81"/>
      <c r="G23" s="80"/>
      <c r="H23" s="81"/>
      <c r="I23" s="91"/>
      <c r="J23" s="92"/>
      <c r="K23" s="114"/>
      <c r="L23" s="17"/>
      <c r="M23" s="70"/>
      <c r="N23" s="71"/>
    </row>
    <row r="24" spans="2:14" ht="18" customHeight="1">
      <c r="B24" s="8"/>
      <c r="C24" s="78"/>
      <c r="D24" s="79"/>
      <c r="E24" s="78"/>
      <c r="F24" s="79"/>
      <c r="G24" s="78"/>
      <c r="H24" s="79"/>
      <c r="I24" s="78"/>
      <c r="J24" s="93"/>
      <c r="K24" s="114"/>
      <c r="L24" s="17"/>
      <c r="M24" s="70"/>
      <c r="N24" s="71"/>
    </row>
    <row r="25" spans="2:14" ht="18" customHeight="1">
      <c r="B25" s="6"/>
      <c r="C25" s="80"/>
      <c r="D25" s="81"/>
      <c r="E25" s="80"/>
      <c r="F25" s="81"/>
      <c r="G25" s="80"/>
      <c r="H25" s="81"/>
      <c r="I25" s="91"/>
      <c r="J25" s="92"/>
      <c r="K25" s="114"/>
      <c r="L25" s="17"/>
      <c r="M25" s="70"/>
      <c r="N25" s="71"/>
    </row>
    <row r="26" spans="2:14" ht="18" customHeight="1">
      <c r="B26" s="8"/>
      <c r="C26" s="78"/>
      <c r="D26" s="79"/>
      <c r="E26" s="78"/>
      <c r="F26" s="79"/>
      <c r="G26" s="78"/>
      <c r="H26" s="79"/>
      <c r="I26" s="78"/>
      <c r="J26" s="93"/>
      <c r="K26" s="11"/>
      <c r="L26" s="17"/>
      <c r="M26" s="70"/>
      <c r="N26" s="71"/>
    </row>
    <row r="27" spans="2:14" ht="18" customHeight="1">
      <c r="B27" s="6"/>
      <c r="C27" s="80"/>
      <c r="D27" s="81"/>
      <c r="E27" s="80"/>
      <c r="F27" s="81"/>
      <c r="G27" s="80"/>
      <c r="H27" s="81"/>
      <c r="I27" s="91"/>
      <c r="J27" s="92"/>
      <c r="K27" s="13"/>
      <c r="L27" s="19"/>
      <c r="M27" s="74"/>
      <c r="N27" s="75"/>
    </row>
    <row r="28" spans="2:14" ht="18" customHeight="1">
      <c r="B28" s="8"/>
      <c r="C28" s="78"/>
      <c r="D28" s="79"/>
      <c r="E28" s="78"/>
      <c r="F28" s="79"/>
      <c r="G28" s="78"/>
      <c r="H28" s="79"/>
      <c r="I28" s="78"/>
      <c r="J28" s="93"/>
      <c r="K28" s="99" t="s">
        <v>15</v>
      </c>
      <c r="L28" s="16"/>
      <c r="M28" s="76"/>
      <c r="N28" s="77"/>
    </row>
    <row r="29" spans="2:14" ht="18" customHeight="1">
      <c r="B29" s="6"/>
      <c r="C29" s="80"/>
      <c r="D29" s="81"/>
      <c r="E29" s="80"/>
      <c r="F29" s="81"/>
      <c r="G29" s="80"/>
      <c r="H29" s="81"/>
      <c r="I29" s="80"/>
      <c r="J29" s="86"/>
      <c r="K29" s="100"/>
      <c r="L29" s="17"/>
      <c r="M29" s="70"/>
      <c r="N29" s="71"/>
    </row>
    <row r="30" spans="2:14" ht="18" customHeight="1">
      <c r="B30" s="8"/>
      <c r="C30" s="78"/>
      <c r="D30" s="79"/>
      <c r="E30" s="78"/>
      <c r="F30" s="79"/>
      <c r="G30" s="78"/>
      <c r="H30" s="79"/>
      <c r="I30" s="84"/>
      <c r="J30" s="85"/>
      <c r="K30" s="100"/>
      <c r="L30" s="17"/>
      <c r="M30" s="70"/>
      <c r="N30" s="71"/>
    </row>
    <row r="31" spans="2:14" ht="18" customHeight="1">
      <c r="B31" s="6"/>
      <c r="C31" s="80"/>
      <c r="D31" s="81"/>
      <c r="E31" s="80"/>
      <c r="F31" s="81"/>
      <c r="G31" s="80"/>
      <c r="H31" s="81"/>
      <c r="I31" s="80"/>
      <c r="J31" s="86"/>
      <c r="K31" s="14"/>
      <c r="L31" s="17"/>
      <c r="M31" s="70"/>
      <c r="N31" s="71"/>
    </row>
    <row r="32" spans="2:14" ht="18" customHeight="1">
      <c r="B32" s="8"/>
      <c r="C32" s="78"/>
      <c r="D32" s="79"/>
      <c r="E32" s="78"/>
      <c r="F32" s="79"/>
      <c r="G32" s="78"/>
      <c r="H32" s="79"/>
      <c r="I32" s="87"/>
      <c r="J32" s="88"/>
      <c r="K32" s="14"/>
      <c r="L32" s="17"/>
      <c r="M32" s="70"/>
      <c r="N32" s="71"/>
    </row>
    <row r="33" spans="2:14" ht="18" customHeight="1">
      <c r="B33" s="7"/>
      <c r="C33" s="82"/>
      <c r="D33" s="83"/>
      <c r="E33" s="82"/>
      <c r="F33" s="83"/>
      <c r="G33" s="82"/>
      <c r="H33" s="83"/>
      <c r="I33" s="89"/>
      <c r="J33" s="90"/>
      <c r="K33" s="15"/>
      <c r="L33" s="20"/>
      <c r="M33" s="72"/>
      <c r="N33" s="73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" priority="3" stopIfTrue="1">
      <formula>DAY(C4)&gt;8</formula>
    </cfRule>
  </conditionalFormatting>
  <conditionalFormatting sqref="C8:I10">
    <cfRule type="expression" dxfId="2" priority="2" stopIfTrue="1">
      <formula>AND(DAY(C8)&gt;=1,DAY(C8)&lt;=15)</formula>
    </cfRule>
  </conditionalFormatting>
  <conditionalFormatting sqref="C4:I9">
    <cfRule type="expression" dxfId="1" priority="4">
      <formula>VLOOKUP(DAY(C4),DíasDeTareas,1,FALSE)=DAY(C4)</formula>
    </cfRule>
  </conditionalFormatting>
  <conditionalFormatting sqref="B14:J33">
    <cfRule type="expression" dxfId="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28</vt:i4>
      </vt:variant>
    </vt:vector>
  </HeadingPairs>
  <TitlesOfParts>
    <vt:vector size="38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JULIO 2021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Registro Civil Teco</cp:lastModifiedBy>
  <cp:lastPrinted>2021-09-06T14:56:28Z</cp:lastPrinted>
  <dcterms:created xsi:type="dcterms:W3CDTF">2015-11-13T18:10:35Z</dcterms:created>
  <dcterms:modified xsi:type="dcterms:W3CDTF">2021-09-27T17:24:58Z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